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embeddings/oleObject1.bin" ContentType="application/vnd.openxmlformats-officedocument.oleObject"/>
  <Override PartName="/xl/drawings/drawing7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 defaultThemeVersion="166925"/>
  <mc:AlternateContent xmlns:mc="http://schemas.openxmlformats.org/markup-compatibility/2006">
    <mc:Choice Requires="x15">
      <x15ac:absPath xmlns:x15ac="http://schemas.microsoft.com/office/spreadsheetml/2010/11/ac" url="Y:\CPL 2023 DINLIC\EDITAIS\PREGÕES ELETRÔNICO SEI\Pregão 3-2023 - Contenção de Solo BA\"/>
    </mc:Choice>
  </mc:AlternateContent>
  <xr:revisionPtr revIDLastSave="0" documentId="8_{30B2A293-3772-4203-B3C2-534507E0F9F9}" xr6:coauthVersionLast="47" xr6:coauthVersionMax="47" xr10:uidLastSave="{00000000-0000-0000-0000-000000000000}"/>
  <bookViews>
    <workbookView xWindow="28680" yWindow="-120" windowWidth="29040" windowHeight="15840" tabRatio="500" xr2:uid="{00000000-000D-0000-FFFF-FFFF00000000}"/>
  </bookViews>
  <sheets>
    <sheet name="RESUMO" sheetId="6" r:id="rId1"/>
    <sheet name="PLANILHA ORÇAMENTÁRIA" sheetId="1" r:id="rId2"/>
    <sheet name="CRONOGRAMA" sheetId="2" r:id="rId3"/>
    <sheet name="TAD" sheetId="3" r:id="rId4"/>
    <sheet name="COMPOSIÇÃO PRÓPRIA " sheetId="5" r:id="rId5"/>
    <sheet name="BDI NORMAL" sheetId="10" r:id="rId6"/>
    <sheet name="CURVA ABC" sheetId="9" r:id="rId7"/>
  </sheets>
  <externalReferences>
    <externalReference r:id="rId8"/>
  </externalReferences>
  <definedNames>
    <definedName name="BDI">[1]BDI!$F$9</definedName>
    <definedName name="BDIR">[1]BDI!$F$23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Q17" i="10" l="1"/>
  <c r="R4" i="10" s="1"/>
  <c r="I15" i="3" l="1"/>
  <c r="K15" i="3"/>
  <c r="L15" i="3" s="1"/>
  <c r="G31" i="9" l="1"/>
  <c r="H31" i="9" s="1"/>
  <c r="E31" i="9"/>
  <c r="G24" i="9"/>
  <c r="C24" i="9"/>
  <c r="E24" i="9" s="1"/>
  <c r="C30" i="9"/>
  <c r="C11" i="9"/>
  <c r="G18" i="9"/>
  <c r="C18" i="9"/>
  <c r="E18" i="9" s="1"/>
  <c r="G23" i="9"/>
  <c r="C23" i="9"/>
  <c r="E23" i="9" s="1"/>
  <c r="G28" i="9"/>
  <c r="C28" i="9"/>
  <c r="E28" i="9" s="1"/>
  <c r="G10" i="9"/>
  <c r="C10" i="9"/>
  <c r="E10" i="9" s="1"/>
  <c r="G36" i="9"/>
  <c r="H36" i="9" s="1"/>
  <c r="E36" i="9"/>
  <c r="G14" i="9"/>
  <c r="C14" i="9"/>
  <c r="E14" i="9" s="1"/>
  <c r="G15" i="9"/>
  <c r="C15" i="9"/>
  <c r="E15" i="9" s="1"/>
  <c r="G8" i="9"/>
  <c r="C8" i="9"/>
  <c r="E8" i="9" s="1"/>
  <c r="G16" i="9"/>
  <c r="C16" i="9"/>
  <c r="E16" i="9" s="1"/>
  <c r="G13" i="9"/>
  <c r="C13" i="9"/>
  <c r="E13" i="9" s="1"/>
  <c r="G22" i="9"/>
  <c r="C22" i="9"/>
  <c r="E22" i="9" s="1"/>
  <c r="G32" i="9"/>
  <c r="C32" i="9"/>
  <c r="E32" i="9" s="1"/>
  <c r="G9" i="9"/>
  <c r="C9" i="9"/>
  <c r="E9" i="9" s="1"/>
  <c r="G35" i="9"/>
  <c r="H35" i="9" s="1"/>
  <c r="E35" i="9"/>
  <c r="G12" i="9"/>
  <c r="C12" i="9"/>
  <c r="E12" i="9" s="1"/>
  <c r="G7" i="9"/>
  <c r="C7" i="9"/>
  <c r="E7" i="9" s="1"/>
  <c r="G37" i="9"/>
  <c r="C17" i="9"/>
  <c r="G21" i="9"/>
  <c r="C21" i="9"/>
  <c r="E21" i="9" s="1"/>
  <c r="G20" i="9"/>
  <c r="G26" i="9"/>
  <c r="C26" i="9"/>
  <c r="E26" i="9" s="1"/>
  <c r="G27" i="9"/>
  <c r="C27" i="9"/>
  <c r="E27" i="9" s="1"/>
  <c r="G25" i="9"/>
  <c r="G29" i="9"/>
  <c r="C38" i="9"/>
  <c r="G19" i="9"/>
  <c r="C19" i="9"/>
  <c r="E19" i="9" s="1"/>
  <c r="C33" i="9"/>
  <c r="G34" i="9"/>
  <c r="C34" i="9"/>
  <c r="C37" i="9" l="1"/>
  <c r="E37" i="9" s="1"/>
  <c r="H19" i="9"/>
  <c r="H26" i="9"/>
  <c r="H8" i="9"/>
  <c r="H10" i="9"/>
  <c r="H12" i="9"/>
  <c r="H15" i="9"/>
  <c r="H28" i="9"/>
  <c r="H23" i="9"/>
  <c r="H9" i="9"/>
  <c r="H16" i="9"/>
  <c r="H22" i="9"/>
  <c r="H24" i="9"/>
  <c r="H27" i="9"/>
  <c r="H13" i="9"/>
  <c r="H18" i="9"/>
  <c r="H34" i="9"/>
  <c r="H7" i="9"/>
  <c r="H14" i="9"/>
  <c r="H32" i="9"/>
  <c r="H37" i="9"/>
  <c r="E34" i="9"/>
  <c r="H21" i="9"/>
  <c r="C20" i="9"/>
  <c r="E20" i="9" s="1"/>
  <c r="H20" i="9" l="1"/>
  <c r="F14" i="3" l="1"/>
  <c r="J68" i="5" l="1"/>
  <c r="J67" i="5"/>
  <c r="J66" i="5"/>
  <c r="J65" i="5"/>
  <c r="J64" i="5"/>
  <c r="J63" i="5"/>
  <c r="J57" i="5"/>
  <c r="J56" i="5"/>
  <c r="J55" i="5"/>
  <c r="J54" i="5"/>
  <c r="J53" i="5"/>
  <c r="J52" i="5"/>
  <c r="J51" i="5"/>
  <c r="J50" i="5"/>
  <c r="H44" i="5"/>
  <c r="J44" i="5" s="1"/>
  <c r="J43" i="5"/>
  <c r="J42" i="5"/>
  <c r="J41" i="5"/>
  <c r="J40" i="5"/>
  <c r="J39" i="5"/>
  <c r="J33" i="5"/>
  <c r="J32" i="5"/>
  <c r="J31" i="5"/>
  <c r="J30" i="5"/>
  <c r="J29" i="5"/>
  <c r="J28" i="5"/>
  <c r="J22" i="5"/>
  <c r="J21" i="5"/>
  <c r="J20" i="5"/>
  <c r="J19" i="5"/>
  <c r="J18" i="5"/>
  <c r="J17" i="5"/>
  <c r="K16" i="3"/>
  <c r="F16" i="3"/>
  <c r="I16" i="3" s="1"/>
  <c r="K14" i="3"/>
  <c r="L14" i="3" s="1"/>
  <c r="I14" i="3"/>
  <c r="N15" i="2"/>
  <c r="N12" i="2"/>
  <c r="N9" i="2"/>
  <c r="K51" i="1"/>
  <c r="L51" i="1" s="1"/>
  <c r="I51" i="1"/>
  <c r="K50" i="1"/>
  <c r="L50" i="1" s="1"/>
  <c r="I50" i="1"/>
  <c r="F50" i="1"/>
  <c r="F49" i="1"/>
  <c r="F48" i="1"/>
  <c r="K45" i="1"/>
  <c r="F45" i="1"/>
  <c r="I45" i="1" s="1"/>
  <c r="K44" i="1"/>
  <c r="F44" i="1"/>
  <c r="I44" i="1" s="1"/>
  <c r="K43" i="1"/>
  <c r="F43" i="1"/>
  <c r="K42" i="1"/>
  <c r="F42" i="1"/>
  <c r="I42" i="1" s="1"/>
  <c r="K41" i="1"/>
  <c r="L41" i="1" s="1"/>
  <c r="I41" i="1"/>
  <c r="K40" i="1"/>
  <c r="F40" i="1"/>
  <c r="I40" i="1" s="1"/>
  <c r="K39" i="1"/>
  <c r="F39" i="1"/>
  <c r="I39" i="1" s="1"/>
  <c r="K38" i="1"/>
  <c r="F38" i="1"/>
  <c r="K36" i="1"/>
  <c r="L36" i="1" s="1"/>
  <c r="F36" i="1"/>
  <c r="I36" i="1" s="1"/>
  <c r="K35" i="1"/>
  <c r="F35" i="1"/>
  <c r="I35" i="1" s="1"/>
  <c r="K34" i="1"/>
  <c r="L34" i="1" s="1"/>
  <c r="F34" i="1"/>
  <c r="I34" i="1" s="1"/>
  <c r="K33" i="1"/>
  <c r="F33" i="1"/>
  <c r="I33" i="1" s="1"/>
  <c r="K32" i="1"/>
  <c r="F32" i="1"/>
  <c r="I32" i="1" s="1"/>
  <c r="K31" i="1"/>
  <c r="L31" i="1" s="1"/>
  <c r="I31" i="1"/>
  <c r="K30" i="1"/>
  <c r="F30" i="1"/>
  <c r="I30" i="1" s="1"/>
  <c r="K29" i="1"/>
  <c r="F29" i="1"/>
  <c r="I29" i="1" s="1"/>
  <c r="K25" i="1"/>
  <c r="F24" i="1"/>
  <c r="K23" i="1"/>
  <c r="F23" i="1"/>
  <c r="I23" i="1" s="1"/>
  <c r="K22" i="1"/>
  <c r="K21" i="1"/>
  <c r="F21" i="1"/>
  <c r="I21" i="1" s="1"/>
  <c r="K20" i="1"/>
  <c r="F20" i="1"/>
  <c r="I20" i="1" s="1"/>
  <c r="K19" i="1"/>
  <c r="K18" i="1"/>
  <c r="F17" i="1"/>
  <c r="K16" i="1"/>
  <c r="F16" i="1"/>
  <c r="I16" i="1" s="1"/>
  <c r="F15" i="1"/>
  <c r="K14" i="1"/>
  <c r="F14" i="1"/>
  <c r="F18" i="1" s="1"/>
  <c r="L23" i="1" l="1"/>
  <c r="L33" i="1"/>
  <c r="L42" i="1"/>
  <c r="I17" i="3"/>
  <c r="J34" i="5"/>
  <c r="J69" i="5"/>
  <c r="J58" i="5"/>
  <c r="L43" i="1"/>
  <c r="J45" i="5"/>
  <c r="L44" i="1"/>
  <c r="L14" i="1"/>
  <c r="L20" i="1"/>
  <c r="L32" i="1"/>
  <c r="L39" i="1"/>
  <c r="L21" i="1"/>
  <c r="J23" i="5"/>
  <c r="L35" i="1"/>
  <c r="L45" i="1"/>
  <c r="L16" i="3"/>
  <c r="L17" i="3" s="1"/>
  <c r="L29" i="1"/>
  <c r="L16" i="1"/>
  <c r="L40" i="1"/>
  <c r="L30" i="1"/>
  <c r="L38" i="1"/>
  <c r="L18" i="1"/>
  <c r="I18" i="1"/>
  <c r="F19" i="1"/>
  <c r="I19" i="1" s="1"/>
  <c r="L18" i="3"/>
  <c r="I14" i="1"/>
  <c r="F22" i="1"/>
  <c r="I22" i="1" s="1"/>
  <c r="F25" i="1"/>
  <c r="I25" i="1" s="1"/>
  <c r="I38" i="1"/>
  <c r="I43" i="1"/>
  <c r="H49" i="1" l="1"/>
  <c r="K49" i="1" s="1"/>
  <c r="L49" i="1" s="1"/>
  <c r="D30" i="9"/>
  <c r="H48" i="1"/>
  <c r="I48" i="1" s="1"/>
  <c r="D11" i="9"/>
  <c r="H24" i="1"/>
  <c r="K24" i="1" s="1"/>
  <c r="L24" i="1" s="1"/>
  <c r="D17" i="9"/>
  <c r="H17" i="1"/>
  <c r="I17" i="1" s="1"/>
  <c r="D38" i="9"/>
  <c r="H15" i="1"/>
  <c r="I15" i="1" s="1"/>
  <c r="D33" i="9"/>
  <c r="L20" i="3"/>
  <c r="L19" i="3" s="1"/>
  <c r="D9" i="6"/>
  <c r="I46" i="1"/>
  <c r="L46" i="1"/>
  <c r="N14" i="2" s="1"/>
  <c r="L22" i="1"/>
  <c r="L19" i="1"/>
  <c r="L25" i="1"/>
  <c r="K48" i="1" l="1"/>
  <c r="L48" i="1" s="1"/>
  <c r="L52" i="1"/>
  <c r="N17" i="2" s="1"/>
  <c r="I49" i="1"/>
  <c r="I52" i="1" s="1"/>
  <c r="E30" i="9"/>
  <c r="G30" i="9"/>
  <c r="H30" i="9" s="1"/>
  <c r="G11" i="9"/>
  <c r="H11" i="9" s="1"/>
  <c r="E11" i="9"/>
  <c r="E17" i="9"/>
  <c r="G17" i="9"/>
  <c r="H17" i="9" s="1"/>
  <c r="I24" i="1"/>
  <c r="I26" i="1" s="1"/>
  <c r="K17" i="1"/>
  <c r="L17" i="1" s="1"/>
  <c r="E38" i="9"/>
  <c r="G38" i="9"/>
  <c r="H38" i="9" s="1"/>
  <c r="G33" i="9"/>
  <c r="H33" i="9" s="1"/>
  <c r="E33" i="9"/>
  <c r="K15" i="1"/>
  <c r="L15" i="1" s="1"/>
  <c r="M14" i="2"/>
  <c r="L14" i="2"/>
  <c r="K14" i="2"/>
  <c r="J14" i="2"/>
  <c r="I14" i="2"/>
  <c r="F14" i="2"/>
  <c r="H14" i="2"/>
  <c r="G14" i="2"/>
  <c r="M53" i="1" l="1"/>
  <c r="L26" i="1"/>
  <c r="M54" i="1" s="1"/>
  <c r="K17" i="2"/>
  <c r="J17" i="2"/>
  <c r="I17" i="2"/>
  <c r="H17" i="2"/>
  <c r="G17" i="2"/>
  <c r="L17" i="2"/>
  <c r="F17" i="2"/>
  <c r="M17" i="2"/>
  <c r="M55" i="1" l="1"/>
  <c r="M36" i="1" s="1"/>
  <c r="N11" i="2"/>
  <c r="N18" i="2" s="1"/>
  <c r="M46" i="1" l="1"/>
  <c r="M18" i="1"/>
  <c r="M16" i="1"/>
  <c r="M50" i="1"/>
  <c r="M40" i="1"/>
  <c r="M23" i="1"/>
  <c r="M15" i="1"/>
  <c r="M34" i="1"/>
  <c r="M20" i="1"/>
  <c r="M29" i="1"/>
  <c r="M42" i="1"/>
  <c r="M19" i="1"/>
  <c r="M38" i="1"/>
  <c r="M14" i="1"/>
  <c r="L21" i="3"/>
  <c r="L22" i="3" s="1"/>
  <c r="E19" i="2" s="1"/>
  <c r="D8" i="6"/>
  <c r="D10" i="6" s="1"/>
  <c r="M43" i="1"/>
  <c r="M31" i="1"/>
  <c r="M41" i="1"/>
  <c r="M22" i="1"/>
  <c r="M49" i="1"/>
  <c r="M25" i="1"/>
  <c r="M33" i="1"/>
  <c r="M35" i="1"/>
  <c r="M17" i="1"/>
  <c r="M45" i="1"/>
  <c r="M44" i="1"/>
  <c r="M26" i="1"/>
  <c r="M48" i="1"/>
  <c r="M30" i="1"/>
  <c r="M51" i="1"/>
  <c r="M21" i="1"/>
  <c r="M52" i="1"/>
  <c r="M24" i="1"/>
  <c r="M39" i="1"/>
  <c r="M32" i="1"/>
  <c r="I11" i="2"/>
  <c r="L11" i="2"/>
  <c r="M11" i="2"/>
  <c r="G11" i="2"/>
  <c r="F11" i="2"/>
  <c r="J11" i="2"/>
  <c r="H11" i="2"/>
  <c r="K11" i="2"/>
  <c r="J18" i="2" l="1"/>
  <c r="J19" i="2" s="1"/>
  <c r="F18" i="2"/>
  <c r="F19" i="2" s="1"/>
  <c r="F20" i="2" s="1"/>
  <c r="J20" i="2" l="1"/>
  <c r="C25" i="9"/>
  <c r="C29" i="9" s="1"/>
  <c r="H29" i="9" l="1"/>
  <c r="E29" i="9"/>
  <c r="E25" i="9"/>
  <c r="H25" i="9"/>
  <c r="H39" i="9" l="1"/>
  <c r="I31" i="9" l="1"/>
  <c r="I36" i="9"/>
  <c r="I35" i="9"/>
  <c r="I37" i="9"/>
  <c r="I22" i="9"/>
  <c r="I23" i="9"/>
  <c r="I33" i="9"/>
  <c r="I38" i="9"/>
  <c r="I19" i="9"/>
  <c r="I7" i="9"/>
  <c r="J7" i="9" s="1"/>
  <c r="K7" i="9" s="1"/>
  <c r="I34" i="9"/>
  <c r="I28" i="9"/>
  <c r="I17" i="9"/>
  <c r="I21" i="9"/>
  <c r="I16" i="9"/>
  <c r="I15" i="9"/>
  <c r="I13" i="9"/>
  <c r="I8" i="9"/>
  <c r="I10" i="9"/>
  <c r="I24" i="9"/>
  <c r="I11" i="9"/>
  <c r="I32" i="9"/>
  <c r="I12" i="9"/>
  <c r="I30" i="9"/>
  <c r="I18" i="9"/>
  <c r="I27" i="9"/>
  <c r="I26" i="9"/>
  <c r="I9" i="9"/>
  <c r="I14" i="9"/>
  <c r="I20" i="9"/>
  <c r="I25" i="9"/>
  <c r="I29" i="9"/>
  <c r="J8" i="9" l="1"/>
  <c r="K8" i="9" s="1"/>
  <c r="J9" i="9" l="1"/>
  <c r="K9" i="9" s="1"/>
  <c r="J10" i="9" l="1"/>
  <c r="J11" i="9" s="1"/>
  <c r="K10" i="9" l="1"/>
  <c r="J12" i="9"/>
  <c r="K11" i="9"/>
  <c r="J13" i="9" l="1"/>
  <c r="K12" i="9"/>
  <c r="J14" i="9" l="1"/>
  <c r="K13" i="9"/>
  <c r="J15" i="9" l="1"/>
  <c r="K14" i="9"/>
  <c r="J16" i="9" l="1"/>
  <c r="K15" i="9"/>
  <c r="J17" i="9" l="1"/>
  <c r="K16" i="9"/>
  <c r="J18" i="9" l="1"/>
  <c r="K17" i="9"/>
  <c r="J19" i="9" l="1"/>
  <c r="K18" i="9"/>
  <c r="J20" i="9" l="1"/>
  <c r="K19" i="9"/>
  <c r="J21" i="9" l="1"/>
  <c r="K20" i="9"/>
  <c r="J22" i="9" l="1"/>
  <c r="K21" i="9"/>
  <c r="J23" i="9" l="1"/>
  <c r="K22" i="9"/>
  <c r="J24" i="9" l="1"/>
  <c r="K23" i="9"/>
  <c r="J25" i="9" l="1"/>
  <c r="K24" i="9"/>
  <c r="J26" i="9" l="1"/>
  <c r="K25" i="9"/>
  <c r="J27" i="9" l="1"/>
  <c r="K26" i="9"/>
  <c r="J28" i="9" l="1"/>
  <c r="K27" i="9"/>
  <c r="J29" i="9" l="1"/>
  <c r="K28" i="9"/>
  <c r="J30" i="9" l="1"/>
  <c r="K29" i="9"/>
  <c r="J31" i="9" l="1"/>
  <c r="K30" i="9"/>
  <c r="J32" i="9" l="1"/>
  <c r="K31" i="9"/>
  <c r="J33" i="9" l="1"/>
  <c r="K32" i="9"/>
  <c r="J34" i="9" l="1"/>
  <c r="K33" i="9"/>
  <c r="J35" i="9" l="1"/>
  <c r="K34" i="9"/>
  <c r="J36" i="9" l="1"/>
  <c r="K35" i="9"/>
  <c r="J37" i="9" l="1"/>
  <c r="K36" i="9"/>
  <c r="J38" i="9" l="1"/>
  <c r="K38" i="9" s="1"/>
  <c r="K37" i="9"/>
  <c r="P8" i="9" l="1"/>
  <c r="Q9" i="9"/>
  <c r="Q7" i="9"/>
  <c r="Q8" i="9"/>
  <c r="P9" i="9"/>
  <c r="P7" i="9"/>
</calcChain>
</file>

<file path=xl/sharedStrings.xml><?xml version="1.0" encoding="utf-8"?>
<sst xmlns="http://schemas.openxmlformats.org/spreadsheetml/2006/main" count="585" uniqueCount="288">
  <si>
    <t>AGÊNCIA NACIONAL DE MINERAÇÃO - ANM</t>
  </si>
  <si>
    <t xml:space="preserve">ORÇAMENTO CORTINA DE CONTENÇÃO </t>
  </si>
  <si>
    <t>ITEM</t>
  </si>
  <si>
    <t>BASE</t>
  </si>
  <si>
    <t>CÓDIGO</t>
  </si>
  <si>
    <t>DISCRIMINAÇÃO ORÇAMENTÁRIA</t>
  </si>
  <si>
    <t>UNIDADE</t>
  </si>
  <si>
    <t>QUANT.</t>
  </si>
  <si>
    <t>MEMÓRIA DE CÁLCULO</t>
  </si>
  <si>
    <t>VALOR UNITÁRIO SEM BDI</t>
  </si>
  <si>
    <t>VALOR TOTAL SEM BDI</t>
  </si>
  <si>
    <t>BDI</t>
  </si>
  <si>
    <t>VALOR UNIT. COM BDI</t>
  </si>
  <si>
    <t>VALOR TOTAL COM BDI</t>
  </si>
  <si>
    <t>% DO VALOR TOTAL</t>
  </si>
  <si>
    <t>SERVIÇOS PRELIMINARES E FINAL</t>
  </si>
  <si>
    <t>1.1</t>
  </si>
  <si>
    <t>SINAPI</t>
  </si>
  <si>
    <t>98524</t>
  </si>
  <si>
    <t>LIMPEZA MANUAL DE VEGETAÇÃO EM TERRENO COM ENXADA</t>
  </si>
  <si>
    <t>M2</t>
  </si>
  <si>
    <t>SOMAGEM DAS AREAS DOS PAINEIS  ((((5+6)*10,6)/2)+(((5+1)*12,04)/2)+(((1+6)*9,24)/2))+((((5+6)*9,74)/2)+(((5+1)*5,37)/2)+(((1+6)*6,87)/2))</t>
  </si>
  <si>
    <t>1.2</t>
  </si>
  <si>
    <t>COMP</t>
  </si>
  <si>
    <t>001</t>
  </si>
  <si>
    <t>PLACA DE OBRA</t>
  </si>
  <si>
    <t>1,8*1,1</t>
  </si>
  <si>
    <t>1.3</t>
  </si>
  <si>
    <t>93584</t>
  </si>
  <si>
    <t>EXECUÇÃO DE DEPÓSITO EM CANTEIRO DE OBRA EM CHAPA DE MADEIRA COMPENSADA, NÃO INCLUSO MOBILIÁRIO.</t>
  </si>
  <si>
    <t>DEPOSITO DIMENSIONADO EM 2,5*3</t>
  </si>
  <si>
    <t>1.4</t>
  </si>
  <si>
    <t>002</t>
  </si>
  <si>
    <t>EQUIPE DE TOPOGRAFIA COMPOSTA DE 1 TOPOGRAFO. AUXILIAR DE TOPOGRAFIA, TEODOLITO E DEMAIS ACESSÓRIOS, INCLUINDO DESENHO</t>
  </si>
  <si>
    <t>H</t>
  </si>
  <si>
    <t>SOMATORIA DAS ÁREAS FEITA NO CAD (94,35+193,08)</t>
  </si>
  <si>
    <t>1.5</t>
  </si>
  <si>
    <t>101114</t>
  </si>
  <si>
    <t>ESCAVAÇÃO HORIZONTAL EM SOLO DE 1A CATEGORIA COM TRATOR DE ESTEIRAS (100HP/LÂMINA: 2,19M3).</t>
  </si>
  <si>
    <t>M3</t>
  </si>
  <si>
    <t>AREA DAS FACES DO PAINEIS * ESPESSURA DE ESCAVAÇÃO ((((5+1)*12,04)/2)+(((1+6)*9,24)/2))+((((5+6)*9,74)/2)+(((5+1)*5,37)/2)+(((1+6)*6,87)/2)))*1</t>
  </si>
  <si>
    <t>1.6</t>
  </si>
  <si>
    <t>100973</t>
  </si>
  <si>
    <t>CARGA, MANOBRA E DESCARGA DE SOLOS E MATERIAIS GRANULARES EM CAMINHÃO M3 BASCULANTE 6 M³ - CARGA COM PÁ CARREGADEIRA</t>
  </si>
  <si>
    <t>AREA DAS FACES DO PAINEIS * ESPESSURA DE ESCAVAÇÃO ADICIONADO 10% DE EMPOLAÇÃO DO SOLO ((((5+1)*12,04)/2)+(((1+6)*9,24)/2))+((((5+6)*9,74)/2)+(((5+1)*5,37)/2)+(((1+6)*6,87)/2)))*1*1,1</t>
  </si>
  <si>
    <t>1.7</t>
  </si>
  <si>
    <t>96385</t>
  </si>
  <si>
    <t>EXECUÇÃO E COMPACTAÇÃO DE ATERRO COM SOLO PREDOMINANTEMENTE ARGILOSO – EXCLUSIVE SOLO, ESCAVAÇÃO, CARGA E TRANSPORTE.</t>
  </si>
  <si>
    <t>MULTIPLICAÇÃO DA LARGURA* COMPRIMENTO DO CORTE DO ATERRO * ESPESSURA DE COMPACTAÇÃO 0,2 (2,(2,86*1,5)+(8*1,5)+(2,91*1,68)+(8*1,5)+(2,99*1,68)+(16*1,5)+(2,93*1,68)+(16*1,5)+(3,14*1,64)+(16*1,5)+(2,96*1,68)+(16*1,5)+(1,5*1,7)</t>
  </si>
  <si>
    <t>1.8</t>
  </si>
  <si>
    <t>97914</t>
  </si>
  <si>
    <t>TRANSPORTE COM CAMINHÃO BASCULANTE DE 6 M³, EM VIA URBANA PAVIMENTADA,  ATÉ 30 KM (UNIDADE: M3XKM).</t>
  </si>
  <si>
    <t>M3xKM</t>
  </si>
  <si>
    <t>PRODUTO  DA QUANTIDADE DE ATERRO ESCAVADO * DISTANCIA PERCORRIDA ESTIMADA (3KM) (220,49*3)</t>
  </si>
  <si>
    <t>1.9</t>
  </si>
  <si>
    <t>00039323</t>
  </si>
  <si>
    <t>MANTA GEOTEXTIL TECIDO DE LAMINETES DE POLIPROPILENO, RESISTENCIA A TRACAO = *25* KN/M</t>
  </si>
  <si>
    <t>SOMATÓRIA DAS ÁREAS DE APLICAÇÃO DO CONCRETO (((5+1)*12,04)/2)+(((1+6)*9,24)/2))+((((5+6)*9,74)/2)+(((5+1)*5,37)/2)+(((1+6)*6,87)/2))</t>
  </si>
  <si>
    <t>1.10</t>
  </si>
  <si>
    <t>97913</t>
  </si>
  <si>
    <t>TRANSPORTE COM CAMINHÃO BASCULANTE DE 6 M³, EM VIA URBANA EM REVESTIME NTO PRIMÁRIO (UNIDADE: M3XKM).</t>
  </si>
  <si>
    <t>PRODUTO  DA QUANTIDADE DECONCRETO CALCULADO * DISTANCIA PERCORRIDA ESTIMADA (3KM) ((32,96+24,37)*30)</t>
  </si>
  <si>
    <t>1.11</t>
  </si>
  <si>
    <t>003</t>
  </si>
  <si>
    <t>TESTE DE FLUENCIA, RECEBIMENTO E QUALIFICAÇÃO</t>
  </si>
  <si>
    <t>UN</t>
  </si>
  <si>
    <t>SOMATÓRIA DA QUANTIDADE DE TIRANTES DO PROJETO : PAINEL1= 18 + PAINEL 2= 14</t>
  </si>
  <si>
    <t>1.12</t>
  </si>
  <si>
    <t>99814</t>
  </si>
  <si>
    <t>LIMPEZA DE SUPERFÍCIE COM JATO DE ALTA PRESSÃO</t>
  </si>
  <si>
    <t>TOTAL PARCIAL</t>
  </si>
  <si>
    <t>MURO DE CONTENÇÃO</t>
  </si>
  <si>
    <t>PAINEL 1</t>
  </si>
  <si>
    <t>2.1</t>
  </si>
  <si>
    <t>100344</t>
  </si>
  <si>
    <t>ARMAÇÃO DE CORTINA DE CONTENÇÃO EM CONCRETO ARMADO, COM AÇO CA-50 DE 10 MM – MONTAGEM</t>
  </si>
  <si>
    <t>KG</t>
  </si>
  <si>
    <t>SOMA DO COMPRIMENTO DA VARA * KG/M DO AÇO 10 MM + 10% (1192,8+54,1+1168,56+214,2+243,6+677,12+236,5+264,88+187,68+213,44+1374,56+300+440,64+246,84+280,72)*0,617*1,1</t>
  </si>
  <si>
    <t>2.2</t>
  </si>
  <si>
    <t>100349</t>
  </si>
  <si>
    <t>CONCRETAGEM DE CORTINA DE CONTENÇÃO, ATRAVÉS DE BOMBA LANÇAMENTO, ADENSAMENTO E ACABAMENTO.</t>
  </si>
  <si>
    <t>SOMATORIA DA ÁREA DOS PAINEIS  * ESPESSURA DA CORTINA ((((5+6)*10,6)/2)+(((5+1)*12,04)/2)+(((1+6)*9,24)/2))*0,26</t>
  </si>
  <si>
    <t>2.3</t>
  </si>
  <si>
    <t>95108</t>
  </si>
  <si>
    <t>EXECUÇÃO DE PROTEÇÃO DA CABEÇA DO TIRANTE COM USO DE FÔRMAS EM CHAPA COMPENSADA PLASTIFICADA DE MADEIRA E CONCRETO FCK =15 MPA.</t>
  </si>
  <si>
    <t>QUANTIDADE DE TIRANTES DESCRITOS NO PROJETO (18)</t>
  </si>
  <si>
    <t>2.4</t>
  </si>
  <si>
    <t>93971</t>
  </si>
  <si>
    <t>EXECUÇÃO DE GRAMPO PARA SOLO GRAMPEADO COM COMPRIMENTO MAIOR QUE 10 M, DIÂMETRO DE 7 CM, PERFURAÇÃO COM EQUIPAMENTO MANUAL E ARMADURA COM DIÂMETRO DE 20 MM.</t>
  </si>
  <si>
    <t>M</t>
  </si>
  <si>
    <t>SOMATORIA DA METRAGEM DO GRAMPOS * QUANTIDADE DE GRAMPOS (10,75*18)</t>
  </si>
  <si>
    <t>2.5</t>
  </si>
  <si>
    <t>98575</t>
  </si>
  <si>
    <t>TRATAMENTO DE JUNTA DE DILATAÇÃO, COM TARUGO DE POLIETILENO E SELANTE, INCLUSO PREENCHIMENTO COM ESPUMA EXPANSIVA PU.</t>
  </si>
  <si>
    <t>SOMATORIA DAS JUNTAS DE DILATAÇÃO (6,14+4,20)</t>
  </si>
  <si>
    <t>2.6</t>
  </si>
  <si>
    <t>100341</t>
  </si>
  <si>
    <t>FABRICAÇÃO, MONTAGEM E DESMONTAGEM DE FÔRMA PARA CORTINA DE CONTENÇÃO, EM CHAPA DE MADEIRA COMPENSADA PLASTIFICADA, E = 18 MM, 10 UTILIZAÇÕES. (INCLUSO ESCORAMENTO)</t>
  </si>
  <si>
    <t>SOMATORIA DAS AREAS DA FACE DO MURO DE CONTENÇÃO ((((5+6)*10,6)/2)+(((5+1)*12,04)/2)+(((1+6)*9,24)/2))</t>
  </si>
  <si>
    <t>2.7</t>
  </si>
  <si>
    <t>100346</t>
  </si>
  <si>
    <t>ARMAÇÃO DE CORTINA DE CONTENÇÃO EM CONCRETO ARMADO, COM AÇO CA-50 DE 16 MM – MONTAGEM.</t>
  </si>
  <si>
    <t>SOMA DO COMPRIMENTO DA VARA * KG/M DO AÇO 16 MM + 10% (96,84+84,84+188,16.+38,9+92,88+24+65,8+9,27+151,8+141,12*24+6,94)*1,578*1,1</t>
  </si>
  <si>
    <t>2.8</t>
  </si>
  <si>
    <t>100721</t>
  </si>
  <si>
    <t>PINTURA COM TINTA ALQUÍDICA DE FUNDO (TIPO ZARCÃO) PULVERIZADA SOBRE SUPERFÍCIES METÁLICAS (EXCETO PERFIL) EXECUTADO EM OBRA (POR DEMÃO).</t>
  </si>
  <si>
    <t>CALCULO DA ÁREA DA FACE EXTERNA DO CILINDRO (2.π.R * h)  (2*3,14*0,01*7805,20)+(2*3,14*0,016*1017,01)</t>
  </si>
  <si>
    <t>PAINEL 2</t>
  </si>
  <si>
    <t>SOMA DO COMPRIMENTO DA VARA * KG/M DO AÇO 10 MM + 10% (1101,92+1075,68+54,1+197,88+225,04+771,48+300+198,52+138,72+157,76+390,08+236,5+156,52+108,12+122,96)*0,617*1,1</t>
  </si>
  <si>
    <t>2.9</t>
  </si>
  <si>
    <t>SOMA DO COMPRIMENTO DA VARA * KG/M DO AÇO 16 MM + 10% (84,84+188,16+89,1+26,96+141,12+6,89+49,21+83,16+69,84)*1,578*1,1</t>
  </si>
  <si>
    <t>2.10</t>
  </si>
  <si>
    <t>SOMATORIA DA ÁREA DOS PAINEIS  * ESPESSURA DA CORTINA ((((5+6)*9,74)/2)+(((5+1)*5,37)/2)+(((1+6)*6,87)/2))*0,26</t>
  </si>
  <si>
    <t>2.11</t>
  </si>
  <si>
    <t>QUANTIDADE D E TIRANTES DESCRITOS NO PROJETO (14)</t>
  </si>
  <si>
    <t>2.12</t>
  </si>
  <si>
    <t>SOMATORIA DA METRAGEM DO GRAMPOS * QUANTIDADE DE GRAMPOS (10,75*14)</t>
  </si>
  <si>
    <t>2.13</t>
  </si>
  <si>
    <t>SOMATORIA DAS JUNTAS DE DILATAÇÃO (5,28+6,13)</t>
  </si>
  <si>
    <t>2.14</t>
  </si>
  <si>
    <t>FABRICAÇÃO, MONTAGEM E DESMONTAGEM DE FÔRMA PARA CORTINA DE CONTENÇÃO, EM CHAPA DE MADEIRA COMPENSADA PLASTIFICADA, E = 18 MM, 10 UTILIZAÇÕES (INCLUSO ESCORAMENTO)</t>
  </si>
  <si>
    <t>SOMATORIA DAS AREAS DA FACE DO MURO DE CONTEÇÃO ((((5+6)*9,74)/2)+(((5+1)*5,37)/2)+(((1+6)*6,87)/2))</t>
  </si>
  <si>
    <t>CALCULO DA ÁREA DA FACE EXTERNA DO CILINDRO (2.π.R * h)  (2*3,14*0,01*5758,81)+(2*3,14*0,016*813,21)</t>
  </si>
  <si>
    <t>DRENAGEM</t>
  </si>
  <si>
    <t>3.1</t>
  </si>
  <si>
    <t>004</t>
  </si>
  <si>
    <t>DRENO PROFUNDO</t>
  </si>
  <si>
    <t>COMPRIMENTO DOS TUBOS * QUANTIDADE DE TUBOS (10,31*18)</t>
  </si>
  <si>
    <t>3.2</t>
  </si>
  <si>
    <t>005</t>
  </si>
  <si>
    <t>DRENO RASO</t>
  </si>
  <si>
    <t>COMPRIMENTO DOS TUBOS * QUANTIDADE DE TUBOS (1,06*18)</t>
  </si>
  <si>
    <t>3.3</t>
  </si>
  <si>
    <t>102990</t>
  </si>
  <si>
    <t xml:space="preserve">CANALETA MEIA CANA PRÉ-MOLDADA DE CONCRETO (D = 30 CM) - FORNECIMENTO  E INSTALAÇÃO </t>
  </si>
  <si>
    <t>SOMATORIA DAOS COMPRIMENTOS DOS PAINEIS (11,67+10,01+9,06+5,11+9,08+6,5)</t>
  </si>
  <si>
    <t>3.4</t>
  </si>
  <si>
    <t>99251</t>
  </si>
  <si>
    <t>CAIXA ENTERRADA HIDRÁULICA RETANGULAR EM ALVENARIA COM TIJOLOS CERÂMICOS MACIÇOS, DIMENSÕES INTERNAS: 0,4X0,4X0,4 M PARA REDE DE DRENAGEM</t>
  </si>
  <si>
    <t>UNID</t>
  </si>
  <si>
    <t>CÁLCULO DA QUANTIDADE DE CAIXAS (1+1+1+1)</t>
  </si>
  <si>
    <t>TOTAL GERAL SEM BDI</t>
  </si>
  <si>
    <t>VALOR DO BDI</t>
  </si>
  <si>
    <t>TOTAL GERAL COM BDI</t>
  </si>
  <si>
    <t xml:space="preserve">
_________________________________________
CONSULTOP CONSULTORIA, PROJETOS E TOPOGRAFIA LTDA
Evilasio Manoel Silveira Chiacchio
ENG. CIVIL CREA-BA: N° 27.405/D</t>
  </si>
  <si>
    <t>CRONOGRAMA FÍSICO-FINANCEIRO -  GERÊNCIA DE  SALVADOR – BA</t>
  </si>
  <si>
    <t>1º mês</t>
  </si>
  <si>
    <t>2º mês</t>
  </si>
  <si>
    <t>CUSTO TOTAL COM BDI</t>
  </si>
  <si>
    <t>1ª semana</t>
  </si>
  <si>
    <t>2ª semana</t>
  </si>
  <si>
    <t>3ª semana</t>
  </si>
  <si>
    <t>4ª semana</t>
  </si>
  <si>
    <t>DESCRIÇÃO</t>
  </si>
  <si>
    <t xml:space="preserve">SERVIÇOS PRELIMINARES E FINAL </t>
  </si>
  <si>
    <t xml:space="preserve">MURO DE CONTENÇÃO </t>
  </si>
  <si>
    <t>MENSAL</t>
  </si>
  <si>
    <t>TAD</t>
  </si>
  <si>
    <t>ACUMULADO</t>
  </si>
  <si>
    <t xml:space="preserve">
_________________________________________
CONSULTOP CONSULTORIA, PROJETOS E TOPOGRAFIA LTDA
Evilasio Manoel Silveira Chiacchio
ENG. CIVIL CREA-BA: N° 27.405/D</t>
  </si>
  <si>
    <t>TAXA DE ADMINISTRAÇÃO DA OBRA</t>
  </si>
  <si>
    <t>ADMINISTRAÇÃO DE OBRA</t>
  </si>
  <si>
    <t>ENCARREGADO GERAL COM ENCARGOS COMPLEMENTARES</t>
  </si>
  <si>
    <t>ENCARREGADO EM PERÍODO INTEGRAL NA OBRA - 22 DIAS X 8 HORAS X 2 MESES = 352 HORAS</t>
  </si>
  <si>
    <t>VALOR DA OBRA</t>
  </si>
  <si>
    <t>PORCENTAGEM DO TAD SOBRE O VALOR DA OBRA</t>
  </si>
  <si>
    <t xml:space="preserve">
_________________________________________
CONSULTOP CONSULTORIA, PROJETOS E TOPOGRAFIA LTDA
Evilasio Manoel Silveira Chiacchio
ENG. CIVIL CREA-BA: N° 27.405/D</t>
  </si>
  <si>
    <t>%</t>
  </si>
  <si>
    <t>SERVIÇO</t>
  </si>
  <si>
    <t>DESCRIÇÃO DO SERVIÇO</t>
  </si>
  <si>
    <t>PRÓPRIA</t>
  </si>
  <si>
    <t>COMPOSIÇÃO DE PREÇO</t>
  </si>
  <si>
    <t>DESCRIÇÃO DA COMPOSIÇÃO</t>
  </si>
  <si>
    <t>QUANTIDADE</t>
  </si>
  <si>
    <t>CUSTO UNIT.</t>
  </si>
  <si>
    <t>CUSTO TOTAL</t>
  </si>
  <si>
    <t>20209/SINAPI</t>
  </si>
  <si>
    <t>CAIBRO APARELHADO *7,5 X 7,5* CM, EM MACARANDUBA, ANGELIM OU EQUIVALENTE DA REGIÃO</t>
  </si>
  <si>
    <t>m</t>
  </si>
  <si>
    <t>PLACA DE OBRA (PARA CONSTRUCAO CIVIL) EM CHAPA GALVANIZADA *N. 22*, ADESIVADA, M2 300,00 DE *2,0 X 1,125* M (SEM POSTES PARA FIXACAO)</t>
  </si>
  <si>
    <t>m2</t>
  </si>
  <si>
    <t>SARRAFO *2,5 X 5* CM EM PINUS, MISTA OU EQUIVALENTE DA REGIAO – BRUTA</t>
  </si>
  <si>
    <t>88262/SINAPI</t>
  </si>
  <si>
    <t>CARPINTEIRO DE FORMAS COM ENCARGOS COMPLEMENTARES</t>
  </si>
  <si>
    <t>h</t>
  </si>
  <si>
    <t>PREGO DE ACO POLIDO COM CABECA 18 X 30 (2 3/4 X 10)</t>
  </si>
  <si>
    <t>kg</t>
  </si>
  <si>
    <t>88316/SINAPI</t>
  </si>
  <si>
    <t>SERVENTE COM ENCARGOS COMPLEMENTARES</t>
  </si>
  <si>
    <t>TOTAL</t>
  </si>
  <si>
    <t xml:space="preserve">EQUIPE DE TOPOGRAFIA COMPOSTA DE 1 TOPOGRAFO. AUXILIAR DE TOPOGRAFIA, TEODOLITO E DEMAIS ACESSÓRIOS, INCLUINDO DESENHO </t>
  </si>
  <si>
    <t>90781/SINAPI</t>
  </si>
  <si>
    <t>TOPOGRAFO COM ENCARGOS COMPLEMENTARES</t>
  </si>
  <si>
    <t>88253/SINAPI</t>
  </si>
  <si>
    <t>AUXILIAR DE TOPÓGRAFO COM ENCARGOS COMPLEMENTARES</t>
  </si>
  <si>
    <t>FERRAMENTAS - FAMILIA TOPOGRAFO - HORISTA (ENCARGOS COMPLEMENTARES -  COLETADO CAIXA)</t>
  </si>
  <si>
    <t>EPI - FAMILIA TOPOGRAFO - HORISTA (ENCARGOS COMPLEMENTARES - COLETADO CAIXA)</t>
  </si>
  <si>
    <t>7247/SINAPI</t>
  </si>
  <si>
    <t>LOCACAO DE TEODOLITO ELETRONICO, PRECISAO ANGULAR DE 5 A 7 SEGUNDOS, INCLUINDO TRIPE</t>
  </si>
  <si>
    <t>90773/SINAPI</t>
  </si>
  <si>
    <t>DESENHISTA COPISTA COM ENCARGOS COMPLEMENTARES</t>
  </si>
  <si>
    <t xml:space="preserve">TESTE DE FLUENCIA, RECEBIMENTO E QUALIFICAÇÃO </t>
  </si>
  <si>
    <t>UNI.</t>
  </si>
  <si>
    <t>100533/SINAPI</t>
  </si>
  <si>
    <t xml:space="preserve">TEC. EDIFICAÇÕES </t>
  </si>
  <si>
    <t>88242/SINAPI</t>
  </si>
  <si>
    <t>AJUDANTE PRATICO</t>
  </si>
  <si>
    <t>102826/SINAPI</t>
  </si>
  <si>
    <t>CONJUNTO MACACO E BOMBA HIDRÁULICA</t>
  </si>
  <si>
    <t>CONJUNTO DE APOIO</t>
  </si>
  <si>
    <t>uni</t>
  </si>
  <si>
    <t>43056/SINAPI</t>
  </si>
  <si>
    <t>TIRANTE 25MM 30TON</t>
  </si>
  <si>
    <t>100263/SINAPI</t>
  </si>
  <si>
    <t xml:space="preserve">TRANSPORTE DO CONJUNTO DE PROTENSÃO </t>
  </si>
  <si>
    <t>Kg x m</t>
  </si>
  <si>
    <t>TRANSPORTE DO CONJUNTO DE PROTENÇÃO</t>
  </si>
  <si>
    <t>4021/SINAPI</t>
  </si>
  <si>
    <t>GEOTEXTIL NAO TECIDO AGULHADO DE FILAMENTOS CONTINUOS 100% POLIESTER, RESISTENCIA A TRACAO = 14 KN/M</t>
  </si>
  <si>
    <t>4718/SINAPI</t>
  </si>
  <si>
    <t>PEDRA BRITADA N. 2 (19 A 38 MM) POSTO PEDREIRA/FORNECEDOR, SEM FRETE</t>
  </si>
  <si>
    <t>m3</t>
  </si>
  <si>
    <t>5678/SINAPI</t>
  </si>
  <si>
    <t>RETROESCAVADEIRA SOBRE RODAS COM CARREGADEIRA, TRAÇÃO 4X4, POTÊNCIA LÍQ. 88 HP, CAÇAMBA CARREG. CAP. MÍN. 1 M3, CAÇAMBA RETRO CAP. 0,26 M3, PESO OPE RACIONAL MÍN. 6.674 KG, PROFUNDIDADE ESCAVAÇÃO MÁX. 4,37 M - CHP DIURNO.</t>
  </si>
  <si>
    <t>chp</t>
  </si>
  <si>
    <t>5679/SINAPI</t>
  </si>
  <si>
    <t>RETROESCAVADEIRA SOBRE RODAS COM CARREGADEIRA, TRAÇÃO 4X4, POTÊNCIA LÍQ. 88 HP, CAÇAMBA CARREG. CAP. MÍN. 1 M3, CAÇAMBA RETRO CAP. 0,26 M3, PESO OPE RACIONAL MÍN. 6.674 KG, PROFUNDIDADE ESCAVAÇÃO MÁX. 4,37 M - CHI DIURNO.</t>
  </si>
  <si>
    <t>TUBO DRENO, CORRUGADO, ESPIRALADO, FLEXIVEL, PERFURADO, EM POLIETILENO DE ALTA DENSIDADE (PEAD), DN 65 MM, (2 1/2") PARA DRENAGEM - EM ROLO (NORMA DNIT 093/2006 – EM)</t>
  </si>
  <si>
    <t>88309/SINAPI</t>
  </si>
  <si>
    <t>PEDREIRO COM ENCARGOS COMPLEMENTARES</t>
  </si>
  <si>
    <t>90106/SINAPI</t>
  </si>
  <si>
    <t>ESCAVAÇÃO MECANIZADA DE VALA COM PROFUNDIDADE ATÉ 1,5 M (MÉDIA MONTANTE E  JUSANTE/UMA COMPOSIÇÃO POR TRECHO), RETROESCAV. (0,26 M3), LARGURA DE 0,8 M A 1,5 M, EM SOLO DE 1A CATEGORIA, LOCAIS COM BAIXO NÍVEL DE INTERFERÊNCIA</t>
  </si>
  <si>
    <t>90778</t>
  </si>
  <si>
    <t>ENGENHEIRO CIVIL DE OBRA PLENO COM ENCARGOS COMPLEMENTARES</t>
  </si>
  <si>
    <t>ANM</t>
  </si>
  <si>
    <t>TERMO DE REFERÊNCIA</t>
  </si>
  <si>
    <t>AGÊNCIA NACIONAL DE MINERAÇÃO</t>
  </si>
  <si>
    <t>SALVADOR - BA</t>
  </si>
  <si>
    <t>EXECUÇÃO DE REFORMA</t>
  </si>
  <si>
    <t>TOTAL COM BDI</t>
  </si>
  <si>
    <t>EXECUÇÃO DO MURO DE CONTENÇÃO DO PRÉDIO DA ANM</t>
  </si>
  <si>
    <t>ENGENHEIRO RESIDENTE FICANDO 3 HORAS POR DIA DURANTE 44 DIAS = 132 HORAS</t>
  </si>
  <si>
    <t>04813/SINAPI</t>
  </si>
  <si>
    <t>04512/SINAPI</t>
  </si>
  <si>
    <t>5075/SINAPI</t>
  </si>
  <si>
    <t>43469/SINAPI</t>
  </si>
  <si>
    <t>43493/SINAPI</t>
  </si>
  <si>
    <t>38052/SINAPI</t>
  </si>
  <si>
    <t>CURVA ABC</t>
  </si>
  <si>
    <t>Percentual (%)</t>
  </si>
  <si>
    <t>Percentual acumulado (%)</t>
  </si>
  <si>
    <t>ESTATÍSTICA</t>
  </si>
  <si>
    <t>Classe</t>
  </si>
  <si>
    <t>Corte</t>
  </si>
  <si>
    <t>Proporção de serviços</t>
  </si>
  <si>
    <t>Proporçao de valor</t>
  </si>
  <si>
    <t>A</t>
  </si>
  <si>
    <t>B</t>
  </si>
  <si>
    <t>C</t>
  </si>
  <si>
    <t>ABC</t>
  </si>
  <si>
    <t>Data base: SINAPI - DEZEMBRO 2022</t>
  </si>
  <si>
    <t>REFERÊNCIA: SINAPI/BA 12/2022 – DESONERADA</t>
  </si>
  <si>
    <t>SALVADOR, 20 DE DEZEMBRO DE 2022</t>
  </si>
  <si>
    <t>ORSE</t>
  </si>
  <si>
    <t>MÊS</t>
  </si>
  <si>
    <t>ENGENHEIRO DE SEGURANÇA DO TRABALHO DURANTE O PERÍODO DE 30 DIAS (1 MÊS)</t>
  </si>
  <si>
    <t>TAXA DE ADMINISTRAÇÃO DA OBRA (13,0320%)</t>
  </si>
  <si>
    <t>Agência Nacional de Mineração</t>
  </si>
  <si>
    <t>Cálculo do BDI:</t>
  </si>
  <si>
    <t>ACÓRDÃO 2622/2013 - TCU - PLENÁRIO</t>
  </si>
  <si>
    <t>Parcela:</t>
  </si>
  <si>
    <t>1º Quartil/Médio/3º Quartil</t>
  </si>
  <si>
    <t>AC =</t>
  </si>
  <si>
    <t>médio</t>
  </si>
  <si>
    <t>DF =</t>
  </si>
  <si>
    <t>R =</t>
  </si>
  <si>
    <t>S + G =</t>
  </si>
  <si>
    <t>I =</t>
  </si>
  <si>
    <t>COFINS =</t>
  </si>
  <si>
    <t>PIS =</t>
  </si>
  <si>
    <t>ISS =</t>
  </si>
  <si>
    <t>CPRB =</t>
  </si>
  <si>
    <t>L =</t>
  </si>
  <si>
    <t xml:space="preserve">BDI = </t>
  </si>
  <si>
    <t>Para Consulta:</t>
  </si>
  <si>
    <t>CÁLCULO BDI NORMAL (DESONERADO)</t>
  </si>
  <si>
    <t>Em virtude da particularidade da obra e do grau de risco envolvido, foi necessário utilizar os dados médios para compor o valor final do BDI, a fim de se evitar uma licitação deserta.</t>
  </si>
  <si>
    <t>Engenheiro Pleno Segurança do Trabalho (Execução do plano de gerenciamento de risco)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</si>
</sst>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164" formatCode="_-&quot;R$&quot;\ * #,##0.00_-;\-&quot;R$&quot;\ * #,##0.00_-;_-&quot;R$&quot;\ * &quot;-&quot;??_-;_-@_-"/>
    <numFmt numFmtId="165" formatCode="&quot; R$&quot;* #,##0.00\ ;&quot;-R$&quot;* #,##0.00\ ;&quot; R$&quot;* \-#\ ;@\ "/>
    <numFmt numFmtId="166" formatCode="&quot; R$ &quot;#,##0.00\ ;&quot; R$ (&quot;#,##0.00\);&quot; R$ -&quot;#\ ;@\ "/>
    <numFmt numFmtId="167" formatCode="#,##0.00\ ;&quot; (&quot;#,##0.00\);\-#\ ;@\ "/>
    <numFmt numFmtId="168" formatCode="* #,##0.00\ ;* \(#,##0.00\);* \-#\ ;@\ "/>
    <numFmt numFmtId="169" formatCode="&quot;R$ &quot;#,##0.00"/>
    <numFmt numFmtId="170" formatCode="&quot; R$&quot;* #,##0.00\ ;&quot; R$&quot;* \(#,##0.00\);&quot; R$&quot;* \-#\ ;@\ "/>
    <numFmt numFmtId="171" formatCode="* #,##0.00\ ;\-* #,##0.00\ ;* \-#\ ;@\ "/>
    <numFmt numFmtId="172" formatCode="0.00000%"/>
    <numFmt numFmtId="173" formatCode="0.0000%"/>
    <numFmt numFmtId="174" formatCode="0.000%"/>
  </numFmts>
  <fonts count="54">
    <font>
      <sz val="11"/>
      <color rgb="FF000000"/>
      <name val="Arial"/>
      <family val="1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charset val="1"/>
    </font>
    <font>
      <sz val="10"/>
      <color rgb="FF000000"/>
      <name val="Arial"/>
      <family val="2"/>
      <charset val="1"/>
    </font>
    <font>
      <sz val="10"/>
      <color rgb="FF000000"/>
      <name val="Arial"/>
      <family val="2"/>
    </font>
    <font>
      <sz val="10"/>
      <name val="Arial"/>
      <family val="2"/>
      <charset val="1"/>
    </font>
    <font>
      <sz val="11"/>
      <color rgb="FF000000"/>
      <name val="Arial"/>
      <family val="2"/>
      <charset val="1"/>
    </font>
    <font>
      <sz val="12"/>
      <color rgb="FF000000"/>
      <name val="Times New Roman"/>
      <family val="1"/>
      <charset val="1"/>
    </font>
    <font>
      <b/>
      <sz val="30"/>
      <color rgb="FF000000"/>
      <name val="Times New Roman"/>
      <family val="1"/>
      <charset val="1"/>
    </font>
    <font>
      <b/>
      <sz val="20"/>
      <color rgb="FF000000"/>
      <name val="Times New Roman"/>
      <family val="1"/>
      <charset val="1"/>
    </font>
    <font>
      <b/>
      <sz val="12"/>
      <color rgb="FF000000"/>
      <name val="Times New Roman"/>
      <family val="1"/>
      <charset val="1"/>
    </font>
    <font>
      <sz val="10"/>
      <color rgb="FF000000"/>
      <name val="Times New Roman"/>
      <family val="1"/>
      <charset val="1"/>
    </font>
    <font>
      <b/>
      <sz val="10"/>
      <color rgb="FF000000"/>
      <name val="Times New Roman"/>
      <family val="1"/>
      <charset val="1"/>
    </font>
    <font>
      <b/>
      <sz val="14"/>
      <color rgb="FF000000"/>
      <name val="Times New Roman"/>
      <family val="1"/>
      <charset val="1"/>
    </font>
    <font>
      <b/>
      <sz val="12"/>
      <color rgb="FF003366"/>
      <name val="Arial"/>
      <family val="2"/>
      <charset val="1"/>
    </font>
    <font>
      <b/>
      <sz val="12"/>
      <color rgb="FF000000"/>
      <name val="Calibri"/>
      <family val="2"/>
      <charset val="1"/>
    </font>
    <font>
      <b/>
      <sz val="11"/>
      <color rgb="FF000000"/>
      <name val="Calibri"/>
      <family val="2"/>
      <charset val="1"/>
    </font>
    <font>
      <b/>
      <sz val="12"/>
      <name val="Arial"/>
      <family val="2"/>
      <charset val="1"/>
    </font>
    <font>
      <sz val="8"/>
      <color rgb="FF000000"/>
      <name val="Arial"/>
      <family val="2"/>
      <charset val="1"/>
    </font>
    <font>
      <b/>
      <sz val="20"/>
      <name val="Arial"/>
      <family val="2"/>
      <charset val="1"/>
    </font>
    <font>
      <b/>
      <sz val="10"/>
      <name val="Arial"/>
      <family val="2"/>
      <charset val="1"/>
    </font>
    <font>
      <sz val="11"/>
      <color rgb="FF000000"/>
      <name val="Arial"/>
      <family val="1"/>
    </font>
    <font>
      <b/>
      <sz val="22"/>
      <color rgb="FF002060"/>
      <name val="Arial"/>
      <family val="2"/>
    </font>
    <font>
      <b/>
      <i/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color indexed="10"/>
      <name val="Arial"/>
      <family val="2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Times New Roman"/>
      <family val="1"/>
      <charset val="1"/>
    </font>
    <font>
      <b/>
      <sz val="11"/>
      <color theme="1"/>
      <name val="Calibri"/>
      <family val="2"/>
      <scheme val="minor"/>
    </font>
    <font>
      <sz val="12"/>
      <color theme="0"/>
      <name val="Times New Roman"/>
      <family val="1"/>
      <charset val="1"/>
    </font>
    <font>
      <sz val="11"/>
      <color theme="0"/>
      <name val="Arial"/>
      <family val="1"/>
    </font>
    <font>
      <sz val="10"/>
      <name val="Calibri"/>
      <family val="2"/>
      <scheme val="minor"/>
    </font>
    <font>
      <sz val="11"/>
      <color rgb="FF000000"/>
      <name val="Times New Roman"/>
      <family val="1"/>
    </font>
    <font>
      <sz val="8"/>
      <name val="Calibri"/>
      <family val="2"/>
      <scheme val="minor"/>
    </font>
    <font>
      <b/>
      <sz val="11"/>
      <name val="Arial"/>
      <family val="2"/>
    </font>
    <font>
      <sz val="11"/>
      <name val="Calibri"/>
      <family val="2"/>
      <scheme val="minor"/>
    </font>
    <font>
      <b/>
      <sz val="16"/>
      <name val="Calibri"/>
      <family val="2"/>
      <scheme val="minor"/>
    </font>
    <font>
      <b/>
      <sz val="14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2"/>
      <name val="Calibri"/>
      <family val="2"/>
    </font>
    <font>
      <b/>
      <sz val="11"/>
      <name val="Calibri"/>
      <family val="2"/>
    </font>
    <font>
      <sz val="10"/>
      <name val="Calibri"/>
      <family val="2"/>
    </font>
    <font>
      <sz val="12"/>
      <name val="Calibri"/>
      <family val="2"/>
    </font>
    <font>
      <b/>
      <sz val="9"/>
      <name val="Geneva"/>
      <family val="2"/>
      <charset val="1"/>
    </font>
    <font>
      <sz val="9"/>
      <color indexed="10"/>
      <name val="Geneva"/>
      <family val="2"/>
      <charset val="1"/>
    </font>
    <font>
      <sz val="9"/>
      <name val="Geneva"/>
      <family val="2"/>
      <charset val="1"/>
    </font>
    <font>
      <sz val="8"/>
      <name val="Geneva"/>
      <family val="2"/>
      <charset val="1"/>
    </font>
    <font>
      <sz val="16"/>
      <name val="Calibri"/>
      <family val="2"/>
      <scheme val="minor"/>
    </font>
    <font>
      <b/>
      <sz val="20"/>
      <name val="Calibri"/>
      <family val="2"/>
      <scheme val="minor"/>
    </font>
    <font>
      <b/>
      <sz val="10"/>
      <name val="Calibri"/>
      <family val="2"/>
    </font>
  </fonts>
  <fills count="22">
    <fill>
      <patternFill patternType="none"/>
    </fill>
    <fill>
      <patternFill patternType="gray125"/>
    </fill>
    <fill>
      <patternFill patternType="solid">
        <fgColor rgb="FFBFBFBF"/>
        <bgColor rgb="FFC0C0C0"/>
      </patternFill>
    </fill>
    <fill>
      <patternFill patternType="solid">
        <fgColor rgb="FFFFFFFF"/>
        <bgColor rgb="FFFFFFCC"/>
      </patternFill>
    </fill>
    <fill>
      <patternFill patternType="solid">
        <fgColor rgb="FFE2F0D9"/>
        <bgColor rgb="FFDAE3F3"/>
      </patternFill>
    </fill>
    <fill>
      <patternFill patternType="solid">
        <fgColor rgb="FFA6A6A6"/>
        <bgColor rgb="FF969696"/>
      </patternFill>
    </fill>
    <fill>
      <patternFill patternType="solid">
        <fgColor rgb="FF000000"/>
        <bgColor rgb="FF003300"/>
      </patternFill>
    </fill>
    <fill>
      <patternFill patternType="solid">
        <fgColor rgb="FFC0C0C0"/>
        <bgColor rgb="FFBFBFBF"/>
      </patternFill>
    </fill>
    <fill>
      <patternFill patternType="solid">
        <fgColor rgb="FF969696"/>
        <bgColor rgb="FFA6A6A6"/>
      </patternFill>
    </fill>
    <fill>
      <patternFill patternType="solid">
        <fgColor rgb="FFDAE3F3"/>
        <bgColor rgb="FFD9D9D9"/>
      </patternFill>
    </fill>
    <fill>
      <patternFill patternType="solid">
        <fgColor rgb="FF2E75B6"/>
        <bgColor rgb="FF0066CC"/>
      </patternFill>
    </fill>
    <fill>
      <patternFill patternType="solid">
        <fgColor rgb="FFFFD966"/>
        <bgColor rgb="FFFFFF99"/>
      </patternFill>
    </fill>
    <fill>
      <patternFill patternType="solid">
        <fgColor rgb="FF92D050"/>
        <bgColor rgb="FFA6A6A6"/>
      </patternFill>
    </fill>
    <fill>
      <patternFill patternType="solid">
        <fgColor rgb="FFD9D9D9"/>
        <bgColor rgb="FFDAE3F3"/>
      </patternFill>
    </fill>
    <fill>
      <patternFill patternType="solid">
        <fgColor rgb="FF92D050"/>
        <bgColor indexed="64"/>
      </patternFill>
    </fill>
    <fill>
      <patternFill patternType="solid">
        <fgColor rgb="FF92D050"/>
        <bgColor rgb="FFFFFFCC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</fills>
  <borders count="119">
    <border>
      <left/>
      <right/>
      <top/>
      <bottom/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ck">
        <color auto="1"/>
      </left>
      <right style="thin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thin">
        <color auto="1"/>
      </right>
      <top style="thick">
        <color auto="1"/>
      </top>
      <bottom style="medium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medium">
        <color auto="1"/>
      </bottom>
      <diagonal/>
    </border>
    <border>
      <left style="thick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ck">
        <color auto="1"/>
      </right>
      <top/>
      <bottom style="thin">
        <color auto="1"/>
      </bottom>
      <diagonal/>
    </border>
    <border>
      <left style="thick">
        <color auto="1"/>
      </left>
      <right style="thin">
        <color auto="1"/>
      </right>
      <top style="medium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/>
      <diagonal/>
    </border>
    <border>
      <left style="thick">
        <color auto="1"/>
      </left>
      <right/>
      <top style="medium">
        <color auto="1"/>
      </top>
      <bottom style="medium">
        <color auto="1"/>
      </bottom>
      <diagonal/>
    </border>
    <border>
      <left style="thick">
        <color auto="1"/>
      </left>
      <right style="thick">
        <color auto="1"/>
      </right>
      <top style="medium">
        <color auto="1"/>
      </top>
      <bottom style="medium">
        <color auto="1"/>
      </bottom>
      <diagonal/>
    </border>
    <border>
      <left style="thick">
        <color auto="1"/>
      </left>
      <right/>
      <top style="medium">
        <color auto="1"/>
      </top>
      <bottom style="thick">
        <color auto="1"/>
      </bottom>
      <diagonal/>
    </border>
    <border>
      <left style="thick">
        <color auto="1"/>
      </left>
      <right style="thick">
        <color auto="1"/>
      </right>
      <top style="medium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ck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ck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ck">
        <color auto="1"/>
      </left>
      <right style="thin">
        <color auto="1"/>
      </right>
      <top/>
      <bottom style="thick">
        <color auto="1"/>
      </bottom>
      <diagonal/>
    </border>
    <border>
      <left style="thin">
        <color auto="1"/>
      </left>
      <right style="thin">
        <color auto="1"/>
      </right>
      <top/>
      <bottom style="thick">
        <color auto="1"/>
      </bottom>
      <diagonal/>
    </border>
    <border>
      <left style="thin">
        <color auto="1"/>
      </left>
      <right style="thick">
        <color auto="1"/>
      </right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/>
      <diagonal/>
    </border>
    <border>
      <left style="thick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/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/>
      <top style="thick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/>
      <diagonal/>
    </border>
    <border>
      <left style="thick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/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/>
      <top style="thin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/>
      <bottom style="thick">
        <color auto="1"/>
      </bottom>
      <diagonal/>
    </border>
    <border>
      <left style="medium">
        <color auto="1"/>
      </left>
      <right/>
      <top style="thick">
        <color auto="1"/>
      </top>
      <bottom style="thick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ck">
        <color auto="1"/>
      </left>
      <right style="thick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ck">
        <color auto="1"/>
      </left>
      <right/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thick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thin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thin">
        <color auto="1"/>
      </right>
      <top style="thick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ck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ck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ck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 style="thick">
        <color auto="1"/>
      </top>
      <bottom/>
      <diagonal/>
    </border>
    <border>
      <left style="thick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ck">
        <color auto="1"/>
      </right>
      <top/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ck">
        <color auto="1"/>
      </right>
      <top/>
      <bottom style="medium">
        <color auto="1"/>
      </bottom>
      <diagonal/>
    </border>
    <border>
      <left style="thick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ck">
        <color auto="1"/>
      </left>
      <right/>
      <top/>
      <bottom style="medium">
        <color auto="1"/>
      </bottom>
      <diagonal/>
    </border>
    <border>
      <left style="thick">
        <color auto="1"/>
      </left>
      <right style="thick">
        <color auto="1"/>
      </right>
      <top/>
      <bottom style="medium">
        <color auto="1"/>
      </bottom>
      <diagonal/>
    </border>
  </borders>
  <cellStyleXfs count="16">
    <xf numFmtId="0" fontId="0" fillId="0" borderId="0"/>
    <xf numFmtId="171" fontId="2" fillId="0" borderId="0" applyBorder="0" applyProtection="0"/>
    <xf numFmtId="9" fontId="2" fillId="0" borderId="0" applyBorder="0" applyProtection="0"/>
    <xf numFmtId="165" fontId="2" fillId="0" borderId="0" applyBorder="0" applyProtection="0"/>
    <xf numFmtId="166" fontId="3" fillId="0" borderId="0" applyBorder="0" applyProtection="0"/>
    <xf numFmtId="0" fontId="4" fillId="0" borderId="0">
      <alignment vertical="top"/>
    </xf>
    <xf numFmtId="0" fontId="5" fillId="0" borderId="0"/>
    <xf numFmtId="0" fontId="3" fillId="0" borderId="0" applyBorder="0" applyProtection="0"/>
    <xf numFmtId="0" fontId="6" fillId="0" borderId="0"/>
    <xf numFmtId="9" fontId="2" fillId="0" borderId="0" applyBorder="0" applyProtection="0"/>
    <xf numFmtId="9" fontId="3" fillId="0" borderId="0" applyBorder="0" applyProtection="0"/>
    <xf numFmtId="167" fontId="3" fillId="0" borderId="0" applyBorder="0" applyProtection="0"/>
    <xf numFmtId="168" fontId="2" fillId="0" borderId="0" applyBorder="0" applyProtection="0"/>
    <xf numFmtId="0" fontId="2" fillId="0" borderId="0" applyBorder="0" applyProtection="0"/>
    <xf numFmtId="164" fontId="21" fillId="0" borderId="0" applyFont="0" applyFill="0" applyBorder="0" applyAlignment="0" applyProtection="0"/>
    <xf numFmtId="0" fontId="48" fillId="0" borderId="0"/>
  </cellStyleXfs>
  <cellXfs count="369">
    <xf numFmtId="0" fontId="0" fillId="0" borderId="0" xfId="0"/>
    <xf numFmtId="0" fontId="7" fillId="0" borderId="0" xfId="0" applyFont="1" applyAlignment="1">
      <alignment horizontal="center" vertical="center"/>
    </xf>
    <xf numFmtId="49" fontId="7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4" fontId="7" fillId="0" borderId="0" xfId="0" applyNumberFormat="1" applyFont="1" applyAlignment="1">
      <alignment horizontal="center" vertical="center"/>
    </xf>
    <xf numFmtId="169" fontId="7" fillId="0" borderId="0" xfId="0" applyNumberFormat="1" applyFont="1" applyAlignment="1">
      <alignment horizontal="center" vertical="center"/>
    </xf>
    <xf numFmtId="10" fontId="7" fillId="0" borderId="0" xfId="0" applyNumberFormat="1" applyFont="1" applyAlignment="1">
      <alignment horizontal="center" vertical="center"/>
    </xf>
    <xf numFmtId="0" fontId="10" fillId="2" borderId="5" xfId="0" applyFont="1" applyFill="1" applyBorder="1" applyAlignment="1">
      <alignment horizontal="center" vertical="center"/>
    </xf>
    <xf numFmtId="0" fontId="10" fillId="2" borderId="6" xfId="0" applyFont="1" applyFill="1" applyBorder="1" applyAlignment="1">
      <alignment horizontal="center" vertical="center"/>
    </xf>
    <xf numFmtId="49" fontId="10" fillId="2" borderId="6" xfId="0" applyNumberFormat="1" applyFont="1" applyFill="1" applyBorder="1" applyAlignment="1">
      <alignment horizontal="center" vertical="center" wrapText="1"/>
    </xf>
    <xf numFmtId="0" fontId="10" fillId="2" borderId="6" xfId="0" applyFont="1" applyFill="1" applyBorder="1" applyAlignment="1">
      <alignment horizontal="center" vertical="center" wrapText="1"/>
    </xf>
    <xf numFmtId="4" fontId="10" fillId="2" borderId="6" xfId="0" applyNumberFormat="1" applyFont="1" applyFill="1" applyBorder="1" applyAlignment="1">
      <alignment horizontal="center" vertical="center"/>
    </xf>
    <xf numFmtId="169" fontId="10" fillId="2" borderId="6" xfId="0" applyNumberFormat="1" applyFont="1" applyFill="1" applyBorder="1" applyAlignment="1">
      <alignment horizontal="center" vertical="center" wrapText="1"/>
    </xf>
    <xf numFmtId="10" fontId="10" fillId="2" borderId="6" xfId="0" applyNumberFormat="1" applyFont="1" applyFill="1" applyBorder="1" applyAlignment="1">
      <alignment horizontal="center" vertical="center" wrapText="1"/>
    </xf>
    <xf numFmtId="169" fontId="10" fillId="2" borderId="7" xfId="0" applyNumberFormat="1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10" fillId="2" borderId="8" xfId="0" applyFont="1" applyFill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49" fontId="11" fillId="0" borderId="11" xfId="0" applyNumberFormat="1" applyFont="1" applyBorder="1" applyAlignment="1">
      <alignment horizontal="center" vertical="center"/>
    </xf>
    <xf numFmtId="0" fontId="11" fillId="0" borderId="11" xfId="0" applyFont="1" applyBorder="1" applyAlignment="1">
      <alignment horizontal="left" vertical="center" wrapText="1"/>
    </xf>
    <xf numFmtId="4" fontId="11" fillId="0" borderId="11" xfId="0" applyNumberFormat="1" applyFont="1" applyBorder="1" applyAlignment="1">
      <alignment horizontal="center" vertical="center"/>
    </xf>
    <xf numFmtId="0" fontId="11" fillId="0" borderId="11" xfId="0" applyFont="1" applyBorder="1" applyAlignment="1">
      <alignment horizontal="center" vertical="center" wrapText="1"/>
    </xf>
    <xf numFmtId="169" fontId="11" fillId="0" borderId="11" xfId="0" applyNumberFormat="1" applyFont="1" applyBorder="1" applyAlignment="1">
      <alignment horizontal="center" vertical="center"/>
    </xf>
    <xf numFmtId="10" fontId="11" fillId="0" borderId="12" xfId="0" applyNumberFormat="1" applyFont="1" applyBorder="1" applyAlignment="1">
      <alignment horizontal="center" vertical="center"/>
    </xf>
    <xf numFmtId="10" fontId="11" fillId="0" borderId="13" xfId="0" applyNumberFormat="1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12" xfId="0" applyFont="1" applyBorder="1" applyAlignment="1">
      <alignment horizontal="center" vertical="center"/>
    </xf>
    <xf numFmtId="49" fontId="11" fillId="0" borderId="12" xfId="0" applyNumberFormat="1" applyFont="1" applyBorder="1" applyAlignment="1">
      <alignment horizontal="center" vertical="center"/>
    </xf>
    <xf numFmtId="0" fontId="11" fillId="0" borderId="12" xfId="0" applyFont="1" applyBorder="1" applyAlignment="1">
      <alignment horizontal="left" vertical="center" wrapText="1"/>
    </xf>
    <xf numFmtId="4" fontId="11" fillId="0" borderId="12" xfId="0" applyNumberFormat="1" applyFont="1" applyBorder="1" applyAlignment="1">
      <alignment horizontal="center" vertical="center"/>
    </xf>
    <xf numFmtId="0" fontId="11" fillId="0" borderId="12" xfId="0" applyFont="1" applyBorder="1" applyAlignment="1">
      <alignment horizontal="center" vertical="center" wrapText="1"/>
    </xf>
    <xf numFmtId="169" fontId="11" fillId="0" borderId="12" xfId="0" applyNumberFormat="1" applyFont="1" applyBorder="1" applyAlignment="1">
      <alignment horizontal="center" vertical="center"/>
    </xf>
    <xf numFmtId="169" fontId="11" fillId="3" borderId="12" xfId="0" applyNumberFormat="1" applyFont="1" applyFill="1" applyBorder="1" applyAlignment="1">
      <alignment horizontal="center" vertical="center"/>
    </xf>
    <xf numFmtId="10" fontId="11" fillId="3" borderId="13" xfId="0" applyNumberFormat="1" applyFont="1" applyFill="1" applyBorder="1" applyAlignment="1">
      <alignment horizontal="center" vertical="center"/>
    </xf>
    <xf numFmtId="0" fontId="11" fillId="3" borderId="0" xfId="0" applyFont="1" applyFill="1" applyAlignment="1">
      <alignment horizontal="center" vertical="center"/>
    </xf>
    <xf numFmtId="0" fontId="0" fillId="3" borderId="0" xfId="0" applyFill="1"/>
    <xf numFmtId="169" fontId="12" fillId="4" borderId="15" xfId="0" applyNumberFormat="1" applyFont="1" applyFill="1" applyBorder="1" applyAlignment="1">
      <alignment horizontal="center" vertical="center"/>
    </xf>
    <xf numFmtId="10" fontId="12" fillId="4" borderId="15" xfId="0" applyNumberFormat="1" applyFont="1" applyFill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4" fontId="11" fillId="0" borderId="16" xfId="0" applyNumberFormat="1" applyFont="1" applyBorder="1" applyAlignment="1">
      <alignment horizontal="center" vertical="center"/>
    </xf>
    <xf numFmtId="169" fontId="11" fillId="0" borderId="16" xfId="0" applyNumberFormat="1" applyFont="1" applyBorder="1" applyAlignment="1">
      <alignment horizontal="center" vertical="center"/>
    </xf>
    <xf numFmtId="0" fontId="11" fillId="0" borderId="16" xfId="0" applyFont="1" applyBorder="1" applyAlignment="1">
      <alignment horizontal="center" vertical="center"/>
    </xf>
    <xf numFmtId="10" fontId="11" fillId="0" borderId="17" xfId="0" applyNumberFormat="1" applyFont="1" applyBorder="1" applyAlignment="1">
      <alignment horizontal="center" vertical="center"/>
    </xf>
    <xf numFmtId="169" fontId="13" fillId="5" borderId="19" xfId="0" applyNumberFormat="1" applyFont="1" applyFill="1" applyBorder="1" applyAlignment="1">
      <alignment horizontal="center" vertical="center"/>
    </xf>
    <xf numFmtId="169" fontId="13" fillId="5" borderId="21" xfId="0" applyNumberFormat="1" applyFont="1" applyFill="1" applyBorder="1" applyAlignment="1">
      <alignment horizontal="center" vertical="center"/>
    </xf>
    <xf numFmtId="0" fontId="0" fillId="3" borderId="4" xfId="0" applyFill="1" applyBorder="1"/>
    <xf numFmtId="0" fontId="5" fillId="0" borderId="28" xfId="0" applyFont="1" applyBorder="1"/>
    <xf numFmtId="0" fontId="5" fillId="0" borderId="16" xfId="0" applyFont="1" applyBorder="1"/>
    <xf numFmtId="0" fontId="5" fillId="0" borderId="29" xfId="0" applyFont="1" applyBorder="1"/>
    <xf numFmtId="0" fontId="5" fillId="0" borderId="30" xfId="0" applyFont="1" applyBorder="1"/>
    <xf numFmtId="0" fontId="5" fillId="0" borderId="31" xfId="0" applyFont="1" applyBorder="1"/>
    <xf numFmtId="0" fontId="17" fillId="7" borderId="32" xfId="6" applyFont="1" applyFill="1" applyBorder="1" applyAlignment="1">
      <alignment horizontal="center" vertical="center"/>
    </xf>
    <xf numFmtId="0" fontId="17" fillId="7" borderId="33" xfId="6" applyFont="1" applyFill="1" applyBorder="1" applyAlignment="1">
      <alignment horizontal="justify" vertical="top"/>
    </xf>
    <xf numFmtId="0" fontId="0" fillId="8" borderId="34" xfId="0" applyFill="1" applyBorder="1"/>
    <xf numFmtId="0" fontId="0" fillId="8" borderId="12" xfId="0" applyFill="1" applyBorder="1"/>
    <xf numFmtId="0" fontId="0" fillId="8" borderId="17" xfId="0" applyFill="1" applyBorder="1"/>
    <xf numFmtId="0" fontId="0" fillId="8" borderId="35" xfId="0" applyFill="1" applyBorder="1"/>
    <xf numFmtId="0" fontId="0" fillId="5" borderId="35" xfId="0" applyFill="1" applyBorder="1"/>
    <xf numFmtId="0" fontId="0" fillId="3" borderId="36" xfId="0" applyFill="1" applyBorder="1"/>
    <xf numFmtId="0" fontId="18" fillId="7" borderId="32" xfId="6" applyFont="1" applyFill="1" applyBorder="1"/>
    <xf numFmtId="0" fontId="18" fillId="7" borderId="33" xfId="6" applyFont="1" applyFill="1" applyBorder="1" applyAlignment="1">
      <alignment horizontal="justify" vertical="top"/>
    </xf>
    <xf numFmtId="0" fontId="0" fillId="8" borderId="37" xfId="0" applyFill="1" applyBorder="1"/>
    <xf numFmtId="0" fontId="0" fillId="8" borderId="38" xfId="0" applyFill="1" applyBorder="1"/>
    <xf numFmtId="0" fontId="0" fillId="8" borderId="39" xfId="0" applyFill="1" applyBorder="1"/>
    <xf numFmtId="0" fontId="0" fillId="8" borderId="40" xfId="0" applyFill="1" applyBorder="1"/>
    <xf numFmtId="0" fontId="0" fillId="5" borderId="40" xfId="0" applyFill="1" applyBorder="1"/>
    <xf numFmtId="10" fontId="2" fillId="0" borderId="42" xfId="2" applyNumberFormat="1" applyBorder="1" applyProtection="1"/>
    <xf numFmtId="10" fontId="2" fillId="0" borderId="43" xfId="2" applyNumberFormat="1" applyBorder="1" applyProtection="1"/>
    <xf numFmtId="10" fontId="2" fillId="0" borderId="44" xfId="2" applyNumberFormat="1" applyBorder="1" applyProtection="1"/>
    <xf numFmtId="10" fontId="2" fillId="0" borderId="45" xfId="2" applyNumberFormat="1" applyBorder="1" applyProtection="1"/>
    <xf numFmtId="10" fontId="2" fillId="0" borderId="46" xfId="2" applyNumberFormat="1" applyBorder="1" applyProtection="1"/>
    <xf numFmtId="10" fontId="5" fillId="3" borderId="47" xfId="2" applyNumberFormat="1" applyFont="1" applyFill="1" applyBorder="1" applyProtection="1"/>
    <xf numFmtId="0" fontId="0" fillId="10" borderId="28" xfId="0" applyFill="1" applyBorder="1"/>
    <xf numFmtId="0" fontId="0" fillId="10" borderId="16" xfId="0" applyFill="1" applyBorder="1"/>
    <xf numFmtId="0" fontId="0" fillId="0" borderId="16" xfId="0" applyBorder="1"/>
    <xf numFmtId="0" fontId="0" fillId="0" borderId="29" xfId="0" applyBorder="1"/>
    <xf numFmtId="0" fontId="0" fillId="0" borderId="30" xfId="0" applyBorder="1"/>
    <xf numFmtId="0" fontId="0" fillId="0" borderId="31" xfId="0" applyBorder="1"/>
    <xf numFmtId="168" fontId="0" fillId="0" borderId="48" xfId="0" applyNumberFormat="1" applyBorder="1"/>
    <xf numFmtId="168" fontId="0" fillId="0" borderId="49" xfId="0" applyNumberFormat="1" applyBorder="1"/>
    <xf numFmtId="168" fontId="0" fillId="0" borderId="50" xfId="0" applyNumberFormat="1" applyBorder="1"/>
    <xf numFmtId="168" fontId="0" fillId="0" borderId="51" xfId="0" applyNumberFormat="1" applyBorder="1"/>
    <xf numFmtId="168" fontId="0" fillId="0" borderId="52" xfId="0" applyNumberFormat="1" applyBorder="1"/>
    <xf numFmtId="170" fontId="5" fillId="3" borderId="53" xfId="3" applyNumberFormat="1" applyFont="1" applyFill="1" applyBorder="1" applyProtection="1"/>
    <xf numFmtId="10" fontId="2" fillId="0" borderId="55" xfId="2" applyNumberFormat="1" applyBorder="1" applyProtection="1"/>
    <xf numFmtId="10" fontId="2" fillId="0" borderId="11" xfId="2" applyNumberFormat="1" applyBorder="1" applyProtection="1"/>
    <xf numFmtId="10" fontId="2" fillId="0" borderId="13" xfId="2" applyNumberFormat="1" applyBorder="1" applyProtection="1"/>
    <xf numFmtId="10" fontId="2" fillId="0" borderId="56" xfId="2" applyNumberFormat="1" applyBorder="1" applyProtection="1"/>
    <xf numFmtId="0" fontId="0" fillId="10" borderId="29" xfId="0" applyFill="1" applyBorder="1"/>
    <xf numFmtId="0" fontId="0" fillId="10" borderId="30" xfId="0" applyFill="1" applyBorder="1"/>
    <xf numFmtId="0" fontId="0" fillId="10" borderId="31" xfId="0" applyFill="1" applyBorder="1"/>
    <xf numFmtId="168" fontId="0" fillId="0" borderId="57" xfId="0" applyNumberFormat="1" applyBorder="1"/>
    <xf numFmtId="168" fontId="0" fillId="0" borderId="12" xfId="0" applyNumberFormat="1" applyBorder="1"/>
    <xf numFmtId="168" fontId="0" fillId="0" borderId="17" xfId="0" applyNumberFormat="1" applyBorder="1"/>
    <xf numFmtId="168" fontId="0" fillId="0" borderId="58" xfId="0" applyNumberFormat="1" applyBorder="1"/>
    <xf numFmtId="0" fontId="0" fillId="0" borderId="28" xfId="0" applyBorder="1"/>
    <xf numFmtId="0" fontId="0" fillId="0" borderId="4" xfId="0" applyBorder="1"/>
    <xf numFmtId="0" fontId="0" fillId="3" borderId="60" xfId="0" applyFill="1" applyBorder="1"/>
    <xf numFmtId="0" fontId="20" fillId="11" borderId="61" xfId="6" applyFont="1" applyFill="1" applyBorder="1" applyAlignment="1">
      <alignment vertical="center"/>
    </xf>
    <xf numFmtId="0" fontId="20" fillId="11" borderId="7" xfId="6" applyFont="1" applyFill="1" applyBorder="1" applyAlignment="1">
      <alignment vertical="center"/>
    </xf>
    <xf numFmtId="0" fontId="0" fillId="3" borderId="63" xfId="0" applyFill="1" applyBorder="1"/>
    <xf numFmtId="0" fontId="20" fillId="11" borderId="3" xfId="6" applyFont="1" applyFill="1" applyBorder="1" applyAlignment="1">
      <alignment vertical="center"/>
    </xf>
    <xf numFmtId="0" fontId="20" fillId="12" borderId="64" xfId="0" applyFont="1" applyFill="1" applyBorder="1"/>
    <xf numFmtId="0" fontId="5" fillId="12" borderId="65" xfId="0" applyFont="1" applyFill="1" applyBorder="1"/>
    <xf numFmtId="0" fontId="5" fillId="3" borderId="0" xfId="0" applyFont="1" applyFill="1"/>
    <xf numFmtId="0" fontId="0" fillId="3" borderId="66" xfId="0" applyFill="1" applyBorder="1"/>
    <xf numFmtId="0" fontId="5" fillId="3" borderId="0" xfId="0" applyFont="1" applyFill="1" applyAlignment="1">
      <alignment horizontal="left" vertical="top"/>
    </xf>
    <xf numFmtId="0" fontId="5" fillId="3" borderId="0" xfId="0" applyFont="1" applyFill="1" applyAlignment="1">
      <alignment horizontal="justify" vertical="top"/>
    </xf>
    <xf numFmtId="0" fontId="0" fillId="3" borderId="64" xfId="0" applyFill="1" applyBorder="1"/>
    <xf numFmtId="0" fontId="0" fillId="3" borderId="67" xfId="0" applyFill="1" applyBorder="1"/>
    <xf numFmtId="0" fontId="0" fillId="3" borderId="68" xfId="0" applyFill="1" applyBorder="1"/>
    <xf numFmtId="0" fontId="10" fillId="2" borderId="70" xfId="0" applyFont="1" applyFill="1" applyBorder="1" applyAlignment="1">
      <alignment horizontal="center" vertical="center"/>
    </xf>
    <xf numFmtId="169" fontId="10" fillId="2" borderId="71" xfId="0" applyNumberFormat="1" applyFont="1" applyFill="1" applyBorder="1" applyAlignment="1">
      <alignment horizontal="center" vertical="center" wrapText="1"/>
    </xf>
    <xf numFmtId="0" fontId="10" fillId="2" borderId="72" xfId="0" applyFont="1" applyFill="1" applyBorder="1" applyAlignment="1">
      <alignment horizontal="center" vertical="center"/>
    </xf>
    <xf numFmtId="0" fontId="11" fillId="0" borderId="74" xfId="0" applyFont="1" applyBorder="1" applyAlignment="1">
      <alignment horizontal="center" vertical="center"/>
    </xf>
    <xf numFmtId="49" fontId="11" fillId="0" borderId="11" xfId="0" applyNumberFormat="1" applyFont="1" applyBorder="1" applyAlignment="1">
      <alignment horizontal="center" vertical="center" wrapText="1"/>
    </xf>
    <xf numFmtId="169" fontId="11" fillId="0" borderId="11" xfId="0" applyNumberFormat="1" applyFont="1" applyBorder="1" applyAlignment="1">
      <alignment horizontal="center" vertical="center" wrapText="1"/>
    </xf>
    <xf numFmtId="10" fontId="11" fillId="0" borderId="11" xfId="0" applyNumberFormat="1" applyFont="1" applyBorder="1" applyAlignment="1">
      <alignment horizontal="center" vertical="center"/>
    </xf>
    <xf numFmtId="169" fontId="11" fillId="0" borderId="75" xfId="0" applyNumberFormat="1" applyFont="1" applyBorder="1" applyAlignment="1">
      <alignment horizontal="center" vertical="center" wrapText="1"/>
    </xf>
    <xf numFmtId="0" fontId="11" fillId="0" borderId="76" xfId="0" applyFont="1" applyBorder="1" applyAlignment="1">
      <alignment horizontal="center" vertical="center"/>
    </xf>
    <xf numFmtId="49" fontId="11" fillId="0" borderId="12" xfId="0" applyNumberFormat="1" applyFont="1" applyBorder="1" applyAlignment="1">
      <alignment horizontal="center" vertical="center" wrapText="1"/>
    </xf>
    <xf numFmtId="169" fontId="11" fillId="0" borderId="12" xfId="0" applyNumberFormat="1" applyFont="1" applyBorder="1" applyAlignment="1">
      <alignment horizontal="center" vertical="center" wrapText="1"/>
    </xf>
    <xf numFmtId="169" fontId="11" fillId="0" borderId="77" xfId="0" applyNumberFormat="1" applyFont="1" applyBorder="1" applyAlignment="1">
      <alignment horizontal="center" vertical="center" wrapText="1"/>
    </xf>
    <xf numFmtId="169" fontId="12" fillId="4" borderId="15" xfId="0" applyNumberFormat="1" applyFont="1" applyFill="1" applyBorder="1" applyAlignment="1">
      <alignment vertical="center"/>
    </xf>
    <xf numFmtId="0" fontId="12" fillId="4" borderId="15" xfId="0" applyFont="1" applyFill="1" applyBorder="1" applyAlignment="1">
      <alignment vertical="center"/>
    </xf>
    <xf numFmtId="169" fontId="12" fillId="4" borderId="79" xfId="0" applyNumberFormat="1" applyFont="1" applyFill="1" applyBorder="1" applyAlignment="1">
      <alignment vertical="center"/>
    </xf>
    <xf numFmtId="169" fontId="13" fillId="5" borderId="73" xfId="0" applyNumberFormat="1" applyFont="1" applyFill="1" applyBorder="1" applyAlignment="1">
      <alignment vertical="center"/>
    </xf>
    <xf numFmtId="169" fontId="13" fillId="5" borderId="81" xfId="0" applyNumberFormat="1" applyFont="1" applyFill="1" applyBorder="1" applyAlignment="1">
      <alignment vertical="center"/>
    </xf>
    <xf numFmtId="169" fontId="13" fillId="5" borderId="79" xfId="0" applyNumberFormat="1" applyFont="1" applyFill="1" applyBorder="1" applyAlignment="1">
      <alignment vertical="center" wrapText="1"/>
    </xf>
    <xf numFmtId="169" fontId="13" fillId="5" borderId="82" xfId="0" applyNumberFormat="1" applyFont="1" applyFill="1" applyBorder="1" applyAlignment="1">
      <alignment vertical="center"/>
    </xf>
    <xf numFmtId="0" fontId="10" fillId="13" borderId="23" xfId="0" applyFont="1" applyFill="1" applyBorder="1" applyAlignment="1">
      <alignment vertical="center"/>
    </xf>
    <xf numFmtId="0" fontId="11" fillId="0" borderId="84" xfId="0" applyFont="1" applyBorder="1" applyAlignment="1">
      <alignment horizontal="center" vertical="center"/>
    </xf>
    <xf numFmtId="0" fontId="11" fillId="0" borderId="85" xfId="0" applyFont="1" applyBorder="1" applyAlignment="1">
      <alignment horizontal="center" vertical="center"/>
    </xf>
    <xf numFmtId="49" fontId="11" fillId="0" borderId="85" xfId="0" applyNumberFormat="1" applyFont="1" applyBorder="1" applyAlignment="1">
      <alignment horizontal="center" vertical="center"/>
    </xf>
    <xf numFmtId="172" fontId="11" fillId="0" borderId="86" xfId="0" applyNumberFormat="1" applyFont="1" applyBorder="1" applyAlignment="1">
      <alignment horizontal="center" vertical="center"/>
    </xf>
    <xf numFmtId="0" fontId="11" fillId="13" borderId="24" xfId="0" applyFont="1" applyFill="1" applyBorder="1" applyAlignment="1">
      <alignment horizontal="center" vertical="center"/>
    </xf>
    <xf numFmtId="0" fontId="11" fillId="13" borderId="87" xfId="0" applyFont="1" applyFill="1" applyBorder="1" applyAlignment="1">
      <alignment horizontal="center" vertical="center"/>
    </xf>
    <xf numFmtId="4" fontId="11" fillId="0" borderId="0" xfId="0" applyNumberFormat="1" applyFont="1" applyAlignment="1">
      <alignment horizontal="center" vertical="center"/>
    </xf>
    <xf numFmtId="169" fontId="11" fillId="0" borderId="66" xfId="0" applyNumberFormat="1" applyFont="1" applyBorder="1" applyAlignment="1">
      <alignment horizontal="center" vertical="center"/>
    </xf>
    <xf numFmtId="169" fontId="11" fillId="0" borderId="68" xfId="0" applyNumberFormat="1" applyFont="1" applyBorder="1" applyAlignment="1">
      <alignment horizontal="center" vertical="center"/>
    </xf>
    <xf numFmtId="169" fontId="11" fillId="14" borderId="11" xfId="0" applyNumberFormat="1" applyFont="1" applyFill="1" applyBorder="1" applyAlignment="1">
      <alignment horizontal="center" vertical="center"/>
    </xf>
    <xf numFmtId="169" fontId="11" fillId="14" borderId="12" xfId="0" applyNumberFormat="1" applyFont="1" applyFill="1" applyBorder="1" applyAlignment="1">
      <alignment horizontal="center" vertical="center"/>
    </xf>
    <xf numFmtId="169" fontId="11" fillId="15" borderId="12" xfId="0" applyNumberFormat="1" applyFont="1" applyFill="1" applyBorder="1" applyAlignment="1">
      <alignment horizontal="center" vertical="center"/>
    </xf>
    <xf numFmtId="0" fontId="24" fillId="0" borderId="24" xfId="0" applyFont="1" applyBorder="1" applyAlignment="1">
      <alignment horizontal="justify" vertical="top"/>
    </xf>
    <xf numFmtId="4" fontId="25" fillId="0" borderId="87" xfId="1" applyNumberFormat="1" applyFont="1" applyBorder="1" applyAlignment="1">
      <alignment horizontal="right"/>
    </xf>
    <xf numFmtId="0" fontId="24" fillId="0" borderId="91" xfId="0" applyFont="1" applyBorder="1" applyAlignment="1">
      <alignment horizontal="justify" vertical="top"/>
    </xf>
    <xf numFmtId="0" fontId="26" fillId="0" borderId="92" xfId="0" applyFont="1" applyBorder="1" applyAlignment="1">
      <alignment horizontal="right"/>
    </xf>
    <xf numFmtId="0" fontId="24" fillId="0" borderId="93" xfId="0" applyFont="1" applyBorder="1" applyAlignment="1">
      <alignment horizontal="justify" vertical="top" wrapText="1"/>
    </xf>
    <xf numFmtId="4" fontId="25" fillId="0" borderId="94" xfId="1" applyNumberFormat="1" applyFont="1" applyBorder="1" applyAlignment="1">
      <alignment horizontal="right"/>
    </xf>
    <xf numFmtId="0" fontId="24" fillId="0" borderId="30" xfId="0" applyFont="1" applyBorder="1" applyAlignment="1">
      <alignment horizontal="justify" vertical="top"/>
    </xf>
    <xf numFmtId="0" fontId="24" fillId="0" borderId="95" xfId="0" applyFont="1" applyBorder="1" applyAlignment="1">
      <alignment horizontal="left"/>
    </xf>
    <xf numFmtId="0" fontId="24" fillId="0" borderId="97" xfId="0" applyFont="1" applyBorder="1" applyAlignment="1">
      <alignment horizontal="justify" vertical="top"/>
    </xf>
    <xf numFmtId="4" fontId="24" fillId="0" borderId="98" xfId="1" applyNumberFormat="1" applyFont="1" applyBorder="1" applyAlignment="1">
      <alignment horizontal="center" vertical="center" wrapText="1"/>
    </xf>
    <xf numFmtId="0" fontId="24" fillId="0" borderId="100" xfId="0" applyFont="1" applyBorder="1" applyAlignment="1">
      <alignment horizontal="justify" vertical="top"/>
    </xf>
    <xf numFmtId="4" fontId="24" fillId="0" borderId="82" xfId="1" applyNumberFormat="1" applyFont="1" applyBorder="1" applyAlignment="1">
      <alignment horizontal="center" vertical="center"/>
    </xf>
    <xf numFmtId="0" fontId="28" fillId="0" borderId="16" xfId="1" applyNumberFormat="1" applyFont="1" applyBorder="1" applyAlignment="1">
      <alignment horizontal="left"/>
    </xf>
    <xf numFmtId="164" fontId="28" fillId="14" borderId="95" xfId="14" applyFont="1" applyFill="1" applyBorder="1" applyAlignment="1">
      <alignment horizontal="justify" vertical="center"/>
    </xf>
    <xf numFmtId="0" fontId="27" fillId="16" borderId="97" xfId="0" applyFont="1" applyFill="1" applyBorder="1"/>
    <xf numFmtId="164" fontId="27" fillId="16" borderId="98" xfId="14" applyFont="1" applyFill="1" applyBorder="1" applyAlignment="1">
      <alignment horizontal="justify" vertical="center"/>
    </xf>
    <xf numFmtId="0" fontId="27" fillId="16" borderId="89" xfId="1" applyNumberFormat="1" applyFont="1" applyFill="1" applyBorder="1" applyAlignment="1">
      <alignment horizontal="center"/>
    </xf>
    <xf numFmtId="164" fontId="27" fillId="16" borderId="103" xfId="14" applyFont="1" applyFill="1" applyBorder="1" applyAlignment="1">
      <alignment horizontal="justify" vertical="center"/>
    </xf>
    <xf numFmtId="173" fontId="13" fillId="5" borderId="82" xfId="0" applyNumberFormat="1" applyFont="1" applyFill="1" applyBorder="1" applyAlignment="1">
      <alignment vertical="center"/>
    </xf>
    <xf numFmtId="174" fontId="20" fillId="11" borderId="3" xfId="6" applyNumberFormat="1" applyFont="1" applyFill="1" applyBorder="1" applyAlignment="1">
      <alignment vertical="center"/>
    </xf>
    <xf numFmtId="0" fontId="11" fillId="0" borderId="110" xfId="0" applyFont="1" applyBorder="1" applyAlignment="1">
      <alignment horizontal="left" vertical="center" wrapText="1"/>
    </xf>
    <xf numFmtId="0" fontId="11" fillId="0" borderId="89" xfId="0" applyFont="1" applyBorder="1" applyAlignment="1">
      <alignment horizontal="center" vertical="center"/>
    </xf>
    <xf numFmtId="4" fontId="11" fillId="0" borderId="89" xfId="0" applyNumberFormat="1" applyFont="1" applyBorder="1" applyAlignment="1">
      <alignment horizontal="center" vertical="center"/>
    </xf>
    <xf numFmtId="169" fontId="11" fillId="0" borderId="89" xfId="0" applyNumberFormat="1" applyFont="1" applyBorder="1" applyAlignment="1">
      <alignment horizontal="center" vertical="center"/>
    </xf>
    <xf numFmtId="0" fontId="11" fillId="0" borderId="111" xfId="0" applyFont="1" applyBorder="1" applyAlignment="1">
      <alignment horizontal="left" vertical="center" wrapText="1"/>
    </xf>
    <xf numFmtId="0" fontId="11" fillId="0" borderId="97" xfId="0" applyFont="1" applyBorder="1" applyAlignment="1">
      <alignment horizontal="center" vertical="center"/>
    </xf>
    <xf numFmtId="4" fontId="11" fillId="0" borderId="97" xfId="0" applyNumberFormat="1" applyFont="1" applyBorder="1" applyAlignment="1">
      <alignment horizontal="center" vertical="center"/>
    </xf>
    <xf numFmtId="169" fontId="11" fillId="0" borderId="97" xfId="0" applyNumberFormat="1" applyFont="1" applyBorder="1" applyAlignment="1">
      <alignment horizontal="center" vertical="center"/>
    </xf>
    <xf numFmtId="10" fontId="11" fillId="0" borderId="97" xfId="0" applyNumberFormat="1" applyFont="1" applyBorder="1" applyAlignment="1">
      <alignment horizontal="center" vertical="center"/>
    </xf>
    <xf numFmtId="10" fontId="11" fillId="0" borderId="16" xfId="0" applyNumberFormat="1" applyFont="1" applyBorder="1" applyAlignment="1">
      <alignment horizontal="center" vertical="center"/>
    </xf>
    <xf numFmtId="171" fontId="30" fillId="18" borderId="11" xfId="1" applyFont="1" applyFill="1" applyBorder="1" applyAlignment="1">
      <alignment horizontal="center" vertical="center"/>
    </xf>
    <xf numFmtId="171" fontId="30" fillId="18" borderId="11" xfId="1" applyFont="1" applyFill="1" applyBorder="1" applyAlignment="1">
      <alignment horizontal="center" vertical="center" wrapText="1"/>
    </xf>
    <xf numFmtId="171" fontId="1" fillId="0" borderId="16" xfId="1" applyFont="1" applyBorder="1" applyAlignment="1">
      <alignment horizontal="center" vertical="center"/>
    </xf>
    <xf numFmtId="9" fontId="1" fillId="0" borderId="16" xfId="1" applyNumberFormat="1" applyFont="1" applyBorder="1" applyAlignment="1">
      <alignment horizontal="center" vertical="center"/>
    </xf>
    <xf numFmtId="9" fontId="1" fillId="0" borderId="16" xfId="2" applyFont="1" applyBorder="1" applyAlignment="1">
      <alignment horizontal="center" vertical="center"/>
    </xf>
    <xf numFmtId="10" fontId="1" fillId="0" borderId="16" xfId="2" applyNumberFormat="1" applyFont="1" applyBorder="1" applyAlignment="1">
      <alignment horizontal="center" vertical="center"/>
    </xf>
    <xf numFmtId="171" fontId="28" fillId="0" borderId="11" xfId="1" applyFont="1" applyBorder="1" applyAlignment="1">
      <alignment horizontal="center" vertical="center"/>
    </xf>
    <xf numFmtId="0" fontId="31" fillId="0" borderId="0" xfId="0" applyFont="1" applyAlignment="1">
      <alignment horizontal="center" vertical="center" wrapText="1"/>
    </xf>
    <xf numFmtId="0" fontId="31" fillId="0" borderId="0" xfId="0" applyFont="1" applyAlignment="1">
      <alignment horizontal="center" vertical="center"/>
    </xf>
    <xf numFmtId="4" fontId="31" fillId="0" borderId="0" xfId="0" applyNumberFormat="1" applyFont="1" applyAlignment="1">
      <alignment horizontal="center" vertical="center"/>
    </xf>
    <xf numFmtId="169" fontId="31" fillId="0" borderId="0" xfId="0" applyNumberFormat="1" applyFont="1" applyAlignment="1">
      <alignment horizontal="center" vertical="center"/>
    </xf>
    <xf numFmtId="10" fontId="31" fillId="0" borderId="0" xfId="0" applyNumberFormat="1" applyFont="1" applyAlignment="1">
      <alignment horizontal="center" vertical="center"/>
    </xf>
    <xf numFmtId="0" fontId="32" fillId="0" borderId="0" xfId="0" applyFont="1"/>
    <xf numFmtId="0" fontId="10" fillId="2" borderId="85" xfId="0" applyFont="1" applyFill="1" applyBorder="1" applyAlignment="1">
      <alignment horizontal="center" vertical="center" wrapText="1"/>
    </xf>
    <xf numFmtId="0" fontId="10" fillId="2" borderId="85" xfId="0" applyFont="1" applyFill="1" applyBorder="1" applyAlignment="1">
      <alignment horizontal="center" vertical="center"/>
    </xf>
    <xf numFmtId="4" fontId="10" fillId="2" borderId="85" xfId="0" applyNumberFormat="1" applyFont="1" applyFill="1" applyBorder="1" applyAlignment="1">
      <alignment horizontal="center" vertical="center"/>
    </xf>
    <xf numFmtId="169" fontId="10" fillId="2" borderId="85" xfId="0" applyNumberFormat="1" applyFont="1" applyFill="1" applyBorder="1" applyAlignment="1">
      <alignment horizontal="center" vertical="center" wrapText="1"/>
    </xf>
    <xf numFmtId="10" fontId="10" fillId="2" borderId="85" xfId="0" applyNumberFormat="1" applyFont="1" applyFill="1" applyBorder="1" applyAlignment="1">
      <alignment horizontal="center" vertical="center" wrapText="1"/>
    </xf>
    <xf numFmtId="169" fontId="10" fillId="2" borderId="33" xfId="0" applyNumberFormat="1" applyFont="1" applyFill="1" applyBorder="1" applyAlignment="1">
      <alignment horizontal="center" vertical="center" wrapText="1"/>
    </xf>
    <xf numFmtId="0" fontId="10" fillId="0" borderId="74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 wrapText="1"/>
    </xf>
    <xf numFmtId="0" fontId="10" fillId="0" borderId="75" xfId="0" applyFont="1" applyBorder="1" applyAlignment="1">
      <alignment horizontal="center" vertical="center"/>
    </xf>
    <xf numFmtId="0" fontId="11" fillId="0" borderId="16" xfId="0" applyFont="1" applyBorder="1" applyAlignment="1">
      <alignment horizontal="center" vertical="center" wrapText="1"/>
    </xf>
    <xf numFmtId="169" fontId="11" fillId="0" borderId="16" xfId="0" applyNumberFormat="1" applyFont="1" applyBorder="1" applyAlignment="1">
      <alignment horizontal="center" vertical="center" wrapText="1"/>
    </xf>
    <xf numFmtId="0" fontId="34" fillId="0" borderId="16" xfId="0" applyFont="1" applyBorder="1" applyAlignment="1">
      <alignment horizontal="center" vertical="center"/>
    </xf>
    <xf numFmtId="0" fontId="25" fillId="19" borderId="0" xfId="0" applyFont="1" applyFill="1" applyAlignment="1">
      <alignment horizontal="center" vertical="center"/>
    </xf>
    <xf numFmtId="0" fontId="35" fillId="19" borderId="67" xfId="0" applyFont="1" applyFill="1" applyBorder="1" applyAlignment="1">
      <alignment vertical="center" wrapText="1"/>
    </xf>
    <xf numFmtId="0" fontId="25" fillId="0" borderId="0" xfId="0" applyFont="1" applyAlignment="1">
      <alignment horizontal="center" vertical="center"/>
    </xf>
    <xf numFmtId="0" fontId="37" fillId="0" borderId="0" xfId="0" applyFont="1" applyAlignment="1">
      <alignment vertical="center"/>
    </xf>
    <xf numFmtId="0" fontId="33" fillId="0" borderId="0" xfId="0" applyFont="1" applyAlignment="1">
      <alignment vertical="center"/>
    </xf>
    <xf numFmtId="10" fontId="39" fillId="0" borderId="0" xfId="0" applyNumberFormat="1" applyFont="1" applyAlignment="1">
      <alignment vertical="center"/>
    </xf>
    <xf numFmtId="0" fontId="40" fillId="21" borderId="107" xfId="0" applyFont="1" applyFill="1" applyBorder="1" applyAlignment="1">
      <alignment vertical="center"/>
    </xf>
    <xf numFmtId="0" fontId="41" fillId="21" borderId="108" xfId="0" applyFont="1" applyFill="1" applyBorder="1" applyAlignment="1">
      <alignment vertical="center"/>
    </xf>
    <xf numFmtId="0" fontId="42" fillId="21" borderId="108" xfId="0" applyFont="1" applyFill="1" applyBorder="1" applyAlignment="1">
      <alignment vertical="center"/>
    </xf>
    <xf numFmtId="0" fontId="42" fillId="21" borderId="109" xfId="0" applyFont="1" applyFill="1" applyBorder="1" applyAlignment="1">
      <alignment vertical="center"/>
    </xf>
    <xf numFmtId="0" fontId="38" fillId="0" borderId="0" xfId="0" applyFont="1" applyAlignment="1">
      <alignment vertical="center"/>
    </xf>
    <xf numFmtId="0" fontId="40" fillId="0" borderId="31" xfId="0" applyFont="1" applyBorder="1" applyAlignment="1">
      <alignment horizontal="center" vertical="center"/>
    </xf>
    <xf numFmtId="0" fontId="40" fillId="0" borderId="91" xfId="0" applyFont="1" applyBorder="1" applyAlignment="1">
      <alignment horizontal="center" vertical="center"/>
    </xf>
    <xf numFmtId="0" fontId="43" fillId="0" borderId="91" xfId="0" applyFont="1" applyBorder="1" applyAlignment="1">
      <alignment horizontal="center" vertical="center"/>
    </xf>
    <xf numFmtId="0" fontId="45" fillId="0" borderId="0" xfId="0" applyFont="1" applyAlignment="1">
      <alignment horizontal="justify" vertical="center"/>
    </xf>
    <xf numFmtId="0" fontId="46" fillId="0" borderId="58" xfId="0" applyFont="1" applyBorder="1" applyAlignment="1">
      <alignment horizontal="left" vertical="center"/>
    </xf>
    <xf numFmtId="0" fontId="46" fillId="0" borderId="35" xfId="0" applyFont="1" applyBorder="1" applyAlignment="1">
      <alignment horizontal="left" vertical="center"/>
    </xf>
    <xf numFmtId="10" fontId="37" fillId="0" borderId="35" xfId="2" applyNumberFormat="1" applyFont="1" applyBorder="1" applyAlignment="1">
      <alignment horizontal="center" vertical="center"/>
    </xf>
    <xf numFmtId="0" fontId="46" fillId="0" borderId="33" xfId="0" applyFont="1" applyBorder="1" applyAlignment="1">
      <alignment horizontal="left" vertical="center"/>
    </xf>
    <xf numFmtId="0" fontId="46" fillId="0" borderId="0" xfId="0" applyFont="1" applyAlignment="1">
      <alignment horizontal="left" vertical="center"/>
    </xf>
    <xf numFmtId="10" fontId="37" fillId="0" borderId="0" xfId="2" applyNumberFormat="1" applyFont="1" applyAlignment="1">
      <alignment horizontal="center" vertical="center"/>
    </xf>
    <xf numFmtId="10" fontId="47" fillId="0" borderId="0" xfId="2" applyNumberFormat="1" applyFont="1" applyAlignment="1">
      <alignment horizontal="center" vertical="center"/>
    </xf>
    <xf numFmtId="0" fontId="49" fillId="0" borderId="33" xfId="15" applyFont="1" applyBorder="1" applyAlignment="1">
      <alignment horizontal="justify" vertical="center"/>
    </xf>
    <xf numFmtId="0" fontId="49" fillId="0" borderId="0" xfId="15" applyFont="1" applyAlignment="1">
      <alignment horizontal="justify" vertical="center"/>
    </xf>
    <xf numFmtId="10" fontId="50" fillId="0" borderId="0" xfId="2" applyNumberFormat="1" applyFont="1" applyAlignment="1">
      <alignment horizontal="center" vertical="center"/>
    </xf>
    <xf numFmtId="0" fontId="51" fillId="0" borderId="0" xfId="0" applyFont="1" applyAlignment="1">
      <alignment vertical="center"/>
    </xf>
    <xf numFmtId="0" fontId="46" fillId="0" borderId="56" xfId="0" applyFont="1" applyBorder="1" applyAlignment="1">
      <alignment horizontal="left" vertical="center"/>
    </xf>
    <xf numFmtId="0" fontId="46" fillId="0" borderId="93" xfId="0" applyFont="1" applyBorder="1" applyAlignment="1">
      <alignment horizontal="left" vertical="center"/>
    </xf>
    <xf numFmtId="10" fontId="49" fillId="0" borderId="93" xfId="2" applyNumberFormat="1" applyFont="1" applyBorder="1" applyAlignment="1">
      <alignment horizontal="center" vertical="center"/>
    </xf>
    <xf numFmtId="0" fontId="33" fillId="0" borderId="31" xfId="0" applyFont="1" applyBorder="1" applyAlignment="1">
      <alignment vertical="center"/>
    </xf>
    <xf numFmtId="0" fontId="39" fillId="0" borderId="91" xfId="0" applyFont="1" applyBorder="1" applyAlignment="1">
      <alignment horizontal="center" vertical="center"/>
    </xf>
    <xf numFmtId="10" fontId="40" fillId="0" borderId="91" xfId="2" applyNumberFormat="1" applyFont="1" applyBorder="1" applyAlignment="1">
      <alignment vertical="center"/>
    </xf>
    <xf numFmtId="10" fontId="52" fillId="0" borderId="91" xfId="2" applyNumberFormat="1" applyFont="1" applyBorder="1" applyAlignment="1">
      <alignment vertical="center"/>
    </xf>
    <xf numFmtId="10" fontId="52" fillId="0" borderId="30" xfId="2" applyNumberFormat="1" applyFont="1" applyBorder="1" applyAlignment="1">
      <alignment vertical="center"/>
    </xf>
    <xf numFmtId="0" fontId="37" fillId="0" borderId="0" xfId="0" applyFont="1" applyAlignment="1">
      <alignment horizontal="center" vertical="center"/>
    </xf>
    <xf numFmtId="0" fontId="42" fillId="0" borderId="0" xfId="0" applyFont="1" applyAlignment="1">
      <alignment horizontal="center" vertical="center"/>
    </xf>
    <xf numFmtId="10" fontId="33" fillId="0" borderId="0" xfId="0" applyNumberFormat="1" applyFont="1" applyAlignment="1">
      <alignment horizontal="center" vertical="center"/>
    </xf>
    <xf numFmtId="0" fontId="46" fillId="0" borderId="0" xfId="0" applyFont="1" applyAlignment="1">
      <alignment horizontal="justify" vertical="center"/>
    </xf>
    <xf numFmtId="10" fontId="45" fillId="0" borderId="0" xfId="0" applyNumberFormat="1" applyFont="1" applyAlignment="1">
      <alignment horizontal="center" vertical="center"/>
    </xf>
    <xf numFmtId="0" fontId="53" fillId="0" borderId="0" xfId="0" applyFont="1" applyAlignment="1">
      <alignment horizontal="center" vertical="center" wrapText="1"/>
    </xf>
    <xf numFmtId="0" fontId="53" fillId="0" borderId="0" xfId="0" applyFont="1" applyAlignment="1">
      <alignment vertical="center"/>
    </xf>
    <xf numFmtId="10" fontId="25" fillId="0" borderId="0" xfId="2" applyNumberFormat="1" applyFont="1" applyAlignment="1">
      <alignment horizontal="center" vertical="center"/>
    </xf>
    <xf numFmtId="10" fontId="11" fillId="0" borderId="30" xfId="0" applyNumberFormat="1" applyFont="1" applyBorder="1" applyAlignment="1">
      <alignment horizontal="center" vertical="center"/>
    </xf>
    <xf numFmtId="10" fontId="11" fillId="0" borderId="106" xfId="0" applyNumberFormat="1" applyFont="1" applyBorder="1" applyAlignment="1">
      <alignment horizontal="center" vertical="center"/>
    </xf>
    <xf numFmtId="0" fontId="11" fillId="0" borderId="16" xfId="0" applyFont="1" applyBorder="1" applyAlignment="1">
      <alignment horizontal="left" vertical="center" wrapText="1"/>
    </xf>
    <xf numFmtId="0" fontId="11" fillId="3" borderId="16" xfId="0" applyFont="1" applyFill="1" applyBorder="1" applyAlignment="1">
      <alignment horizontal="left" vertical="center" wrapText="1"/>
    </xf>
    <xf numFmtId="0" fontId="11" fillId="3" borderId="16" xfId="0" applyFont="1" applyFill="1" applyBorder="1" applyAlignment="1">
      <alignment horizontal="center" vertical="center"/>
    </xf>
    <xf numFmtId="4" fontId="11" fillId="3" borderId="16" xfId="0" applyNumberFormat="1" applyFont="1" applyFill="1" applyBorder="1" applyAlignment="1">
      <alignment horizontal="center" vertical="center"/>
    </xf>
    <xf numFmtId="169" fontId="11" fillId="3" borderId="16" xfId="0" applyNumberFormat="1" applyFont="1" applyFill="1" applyBorder="1" applyAlignment="1">
      <alignment horizontal="center" vertical="center"/>
    </xf>
    <xf numFmtId="10" fontId="11" fillId="0" borderId="89" xfId="0" applyNumberFormat="1" applyFont="1" applyBorder="1" applyAlignment="1">
      <alignment horizontal="center" vertical="center"/>
    </xf>
    <xf numFmtId="169" fontId="11" fillId="0" borderId="103" xfId="0" applyNumberFormat="1" applyFont="1" applyBorder="1" applyAlignment="1">
      <alignment horizontal="center" vertical="center"/>
    </xf>
    <xf numFmtId="0" fontId="11" fillId="0" borderId="112" xfId="0" applyFont="1" applyBorder="1" applyAlignment="1">
      <alignment horizontal="left" vertical="center" wrapText="1"/>
    </xf>
    <xf numFmtId="169" fontId="11" fillId="0" borderId="95" xfId="0" applyNumberFormat="1" applyFont="1" applyBorder="1" applyAlignment="1">
      <alignment horizontal="center" vertical="center"/>
    </xf>
    <xf numFmtId="0" fontId="11" fillId="3" borderId="112" xfId="0" applyFont="1" applyFill="1" applyBorder="1" applyAlignment="1">
      <alignment horizontal="left" vertical="center" wrapText="1"/>
    </xf>
    <xf numFmtId="169" fontId="11" fillId="3" borderId="95" xfId="0" applyNumberFormat="1" applyFont="1" applyFill="1" applyBorder="1" applyAlignment="1">
      <alignment horizontal="center" vertical="center"/>
    </xf>
    <xf numFmtId="169" fontId="11" fillId="0" borderId="98" xfId="0" applyNumberFormat="1" applyFont="1" applyBorder="1" applyAlignment="1">
      <alignment horizontal="center" vertical="center"/>
    </xf>
    <xf numFmtId="49" fontId="11" fillId="0" borderId="16" xfId="0" applyNumberFormat="1" applyFont="1" applyBorder="1" applyAlignment="1">
      <alignment horizontal="center" vertical="center"/>
    </xf>
    <xf numFmtId="49" fontId="29" fillId="3" borderId="16" xfId="0" applyNumberFormat="1" applyFont="1" applyFill="1" applyBorder="1" applyAlignment="1">
      <alignment horizontal="center" vertical="center"/>
    </xf>
    <xf numFmtId="0" fontId="11" fillId="3" borderId="16" xfId="0" applyFont="1" applyFill="1" applyBorder="1" applyAlignment="1">
      <alignment horizontal="center" vertical="center" wrapText="1"/>
    </xf>
    <xf numFmtId="0" fontId="10" fillId="2" borderId="113" xfId="0" applyFont="1" applyFill="1" applyBorder="1" applyAlignment="1">
      <alignment horizontal="center" vertical="center"/>
    </xf>
    <xf numFmtId="169" fontId="12" fillId="4" borderId="116" xfId="0" applyNumberFormat="1" applyFont="1" applyFill="1" applyBorder="1" applyAlignment="1">
      <alignment horizontal="center" vertical="center"/>
    </xf>
    <xf numFmtId="10" fontId="12" fillId="4" borderId="116" xfId="0" applyNumberFormat="1" applyFont="1" applyFill="1" applyBorder="1" applyAlignment="1">
      <alignment horizontal="center" vertical="center"/>
    </xf>
    <xf numFmtId="10" fontId="12" fillId="4" borderId="81" xfId="0" applyNumberFormat="1" applyFont="1" applyFill="1" applyBorder="1" applyAlignment="1">
      <alignment horizontal="center" vertical="center"/>
    </xf>
    <xf numFmtId="169" fontId="13" fillId="5" borderId="118" xfId="0" applyNumberFormat="1" applyFont="1" applyFill="1" applyBorder="1" applyAlignment="1">
      <alignment horizontal="center" vertical="center"/>
    </xf>
    <xf numFmtId="10" fontId="10" fillId="4" borderId="81" xfId="0" applyNumberFormat="1" applyFont="1" applyFill="1" applyBorder="1" applyAlignment="1">
      <alignment horizontal="center" vertical="center"/>
    </xf>
    <xf numFmtId="0" fontId="34" fillId="0" borderId="16" xfId="0" applyFont="1" applyBorder="1" applyAlignment="1">
      <alignment horizontal="left" vertical="center" wrapText="1"/>
    </xf>
    <xf numFmtId="0" fontId="0" fillId="17" borderId="105" xfId="0" applyFill="1" applyBorder="1" applyAlignment="1">
      <alignment horizontal="center"/>
    </xf>
    <xf numFmtId="0" fontId="0" fillId="17" borderId="106" xfId="0" applyFill="1" applyBorder="1" applyAlignment="1">
      <alignment horizontal="center"/>
    </xf>
    <xf numFmtId="0" fontId="22" fillId="0" borderId="88" xfId="0" applyFont="1" applyBorder="1" applyAlignment="1">
      <alignment horizontal="center" vertical="center"/>
    </xf>
    <xf numFmtId="0" fontId="22" fillId="0" borderId="90" xfId="0" applyFont="1" applyBorder="1" applyAlignment="1">
      <alignment horizontal="center" vertical="center"/>
    </xf>
    <xf numFmtId="0" fontId="22" fillId="0" borderId="96" xfId="0" applyFont="1" applyBorder="1" applyAlignment="1">
      <alignment horizontal="center" vertical="center"/>
    </xf>
    <xf numFmtId="49" fontId="23" fillId="0" borderId="89" xfId="1" applyNumberFormat="1" applyFont="1" applyBorder="1" applyAlignment="1">
      <alignment horizontal="center"/>
    </xf>
    <xf numFmtId="49" fontId="23" fillId="0" borderId="16" xfId="1" applyNumberFormat="1" applyFont="1" applyBorder="1" applyAlignment="1">
      <alignment horizontal="center"/>
    </xf>
    <xf numFmtId="49" fontId="23" fillId="0" borderId="97" xfId="1" applyNumberFormat="1" applyFont="1" applyBorder="1" applyAlignment="1">
      <alignment horizontal="center"/>
    </xf>
    <xf numFmtId="0" fontId="0" fillId="0" borderId="60" xfId="0" applyBorder="1" applyAlignment="1">
      <alignment horizontal="center"/>
    </xf>
    <xf numFmtId="0" fontId="0" fillId="0" borderId="99" xfId="0" applyBorder="1" applyAlignment="1">
      <alignment horizontal="center"/>
    </xf>
    <xf numFmtId="0" fontId="0" fillId="16" borderId="101" xfId="0" applyFill="1" applyBorder="1" applyAlignment="1">
      <alignment horizontal="center"/>
    </xf>
    <xf numFmtId="0" fontId="0" fillId="16" borderId="102" xfId="0" applyFill="1" applyBorder="1" applyAlignment="1">
      <alignment horizontal="center"/>
    </xf>
    <xf numFmtId="0" fontId="0" fillId="0" borderId="104" xfId="0" applyBorder="1" applyAlignment="1">
      <alignment horizontal="center"/>
    </xf>
    <xf numFmtId="0" fontId="0" fillId="0" borderId="30" xfId="0" applyBorder="1" applyAlignment="1">
      <alignment horizontal="center"/>
    </xf>
    <xf numFmtId="0" fontId="13" fillId="5" borderId="117" xfId="0" applyFont="1" applyFill="1" applyBorder="1" applyAlignment="1">
      <alignment horizontal="center" vertical="center"/>
    </xf>
    <xf numFmtId="0" fontId="13" fillId="5" borderId="18" xfId="0" applyFont="1" applyFill="1" applyBorder="1" applyAlignment="1">
      <alignment horizontal="center" vertical="center"/>
    </xf>
    <xf numFmtId="0" fontId="13" fillId="5" borderId="20" xfId="0" applyFont="1" applyFill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12" fillId="4" borderId="80" xfId="0" applyFont="1" applyFill="1" applyBorder="1" applyAlignment="1">
      <alignment horizontal="center" vertical="center"/>
    </xf>
    <xf numFmtId="0" fontId="12" fillId="4" borderId="115" xfId="0" applyFont="1" applyFill="1" applyBorder="1" applyAlignment="1">
      <alignment horizontal="center" vertical="center"/>
    </xf>
    <xf numFmtId="0" fontId="10" fillId="2" borderId="114" xfId="0" applyFont="1" applyFill="1" applyBorder="1" applyAlignment="1">
      <alignment horizontal="center" vertical="center"/>
    </xf>
    <xf numFmtId="0" fontId="12" fillId="4" borderId="14" xfId="0" applyFont="1" applyFill="1" applyBorder="1" applyAlignment="1">
      <alignment horizontal="center" vertical="center"/>
    </xf>
    <xf numFmtId="0" fontId="10" fillId="2" borderId="9" xfId="0" applyFont="1" applyFill="1" applyBorder="1" applyAlignment="1">
      <alignment horizontal="center" vertical="center"/>
    </xf>
    <xf numFmtId="0" fontId="12" fillId="4" borderId="116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5" fillId="3" borderId="0" xfId="0" applyFont="1" applyFill="1" applyAlignment="1">
      <alignment horizontal="left" vertical="top"/>
    </xf>
    <xf numFmtId="0" fontId="5" fillId="3" borderId="0" xfId="0" applyFont="1" applyFill="1" applyAlignment="1">
      <alignment horizontal="left" vertical="top" wrapText="1"/>
    </xf>
    <xf numFmtId="171" fontId="16" fillId="11" borderId="3" xfId="1" applyFont="1" applyFill="1" applyBorder="1" applyAlignment="1" applyProtection="1">
      <alignment horizontal="center" vertical="center"/>
    </xf>
    <xf numFmtId="168" fontId="16" fillId="11" borderId="61" xfId="0" applyNumberFormat="1" applyFont="1" applyFill="1" applyBorder="1" applyAlignment="1">
      <alignment horizontal="center" vertical="center"/>
    </xf>
    <xf numFmtId="171" fontId="0" fillId="3" borderId="62" xfId="0" applyNumberFormat="1" applyFill="1" applyBorder="1" applyAlignment="1">
      <alignment horizontal="center" vertical="center"/>
    </xf>
    <xf numFmtId="171" fontId="16" fillId="11" borderId="3" xfId="1" applyFont="1" applyFill="1" applyBorder="1" applyAlignment="1" applyProtection="1">
      <alignment horizontal="right" vertical="center"/>
    </xf>
    <xf numFmtId="168" fontId="16" fillId="11" borderId="61" xfId="0" applyNumberFormat="1" applyFont="1" applyFill="1" applyBorder="1" applyAlignment="1">
      <alignment horizontal="right" vertical="center"/>
    </xf>
    <xf numFmtId="171" fontId="20" fillId="12" borderId="3" xfId="0" applyNumberFormat="1" applyFont="1" applyFill="1" applyBorder="1" applyAlignment="1">
      <alignment horizontal="right"/>
    </xf>
    <xf numFmtId="171" fontId="20" fillId="12" borderId="61" xfId="0" applyNumberFormat="1" applyFont="1" applyFill="1" applyBorder="1" applyAlignment="1">
      <alignment horizontal="right"/>
    </xf>
    <xf numFmtId="0" fontId="19" fillId="3" borderId="4" xfId="0" applyFont="1" applyFill="1" applyBorder="1" applyAlignment="1">
      <alignment horizontal="center" vertical="center" textRotation="255"/>
    </xf>
    <xf numFmtId="0" fontId="17" fillId="9" borderId="0" xfId="6" applyFont="1" applyFill="1" applyAlignment="1">
      <alignment horizontal="center" vertical="center"/>
    </xf>
    <xf numFmtId="0" fontId="20" fillId="9" borderId="41" xfId="6" applyFont="1" applyFill="1" applyBorder="1" applyAlignment="1">
      <alignment horizontal="justify" vertical="center"/>
    </xf>
    <xf numFmtId="0" fontId="17" fillId="9" borderId="54" xfId="6" applyFont="1" applyFill="1" applyBorder="1" applyAlignment="1">
      <alignment horizontal="center" vertical="center"/>
    </xf>
    <xf numFmtId="0" fontId="20" fillId="9" borderId="3" xfId="6" applyFont="1" applyFill="1" applyBorder="1" applyAlignment="1">
      <alignment horizontal="justify" vertical="center"/>
    </xf>
    <xf numFmtId="0" fontId="17" fillId="9" borderId="40" xfId="6" applyFont="1" applyFill="1" applyBorder="1" applyAlignment="1">
      <alignment horizontal="center" vertical="center"/>
    </xf>
    <xf numFmtId="0" fontId="20" fillId="9" borderId="59" xfId="6" applyFont="1" applyFill="1" applyBorder="1" applyAlignment="1">
      <alignment horizontal="justify" vertical="center"/>
    </xf>
    <xf numFmtId="0" fontId="14" fillId="3" borderId="22" xfId="0" applyFont="1" applyFill="1" applyBorder="1" applyAlignment="1">
      <alignment horizontal="center" vertical="center"/>
    </xf>
    <xf numFmtId="0" fontId="15" fillId="3" borderId="23" xfId="0" applyFont="1" applyFill="1" applyBorder="1" applyAlignment="1">
      <alignment horizontal="center" vertical="center"/>
    </xf>
    <xf numFmtId="0" fontId="0" fillId="6" borderId="24" xfId="0" applyFill="1" applyBorder="1" applyAlignment="1">
      <alignment horizontal="center"/>
    </xf>
    <xf numFmtId="0" fontId="16" fillId="0" borderId="25" xfId="0" applyFont="1" applyBorder="1" applyAlignment="1">
      <alignment horizontal="center"/>
    </xf>
    <xf numFmtId="0" fontId="16" fillId="0" borderId="26" xfId="0" applyFont="1" applyBorder="1" applyAlignment="1">
      <alignment horizontal="center"/>
    </xf>
    <xf numFmtId="0" fontId="16" fillId="7" borderId="27" xfId="0" applyFont="1" applyFill="1" applyBorder="1" applyAlignment="1">
      <alignment horizontal="center" vertical="center" wrapText="1"/>
    </xf>
    <xf numFmtId="0" fontId="13" fillId="5" borderId="80" xfId="0" applyFont="1" applyFill="1" applyBorder="1" applyAlignment="1">
      <alignment horizontal="right" vertical="center"/>
    </xf>
    <xf numFmtId="0" fontId="10" fillId="0" borderId="62" xfId="0" applyFont="1" applyBorder="1" applyAlignment="1">
      <alignment horizontal="center" wrapText="1"/>
    </xf>
    <xf numFmtId="0" fontId="12" fillId="4" borderId="78" xfId="0" applyFont="1" applyFill="1" applyBorder="1" applyAlignment="1">
      <alignment horizontal="center" vertical="center"/>
    </xf>
    <xf numFmtId="0" fontId="13" fillId="5" borderId="72" xfId="0" applyFont="1" applyFill="1" applyBorder="1" applyAlignment="1">
      <alignment horizontal="right" vertical="center"/>
    </xf>
    <xf numFmtId="0" fontId="13" fillId="5" borderId="78" xfId="0" applyFont="1" applyFill="1" applyBorder="1" applyAlignment="1">
      <alignment horizontal="right" vertical="center" wrapText="1"/>
    </xf>
    <xf numFmtId="0" fontId="7" fillId="0" borderId="27" xfId="0" applyFont="1" applyBorder="1" applyAlignment="1">
      <alignment horizontal="center" vertical="center"/>
    </xf>
    <xf numFmtId="0" fontId="8" fillId="0" borderId="27" xfId="0" applyFont="1" applyBorder="1" applyAlignment="1">
      <alignment horizontal="center" vertical="center" wrapText="1"/>
    </xf>
    <xf numFmtId="0" fontId="9" fillId="0" borderId="69" xfId="0" applyFont="1" applyBorder="1" applyAlignment="1">
      <alignment horizontal="center" vertical="center" wrapText="1"/>
    </xf>
    <xf numFmtId="0" fontId="10" fillId="2" borderId="73" xfId="0" applyFont="1" applyFill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 wrapText="1"/>
    </xf>
    <xf numFmtId="0" fontId="11" fillId="0" borderId="64" xfId="0" applyFont="1" applyBorder="1" applyAlignment="1">
      <alignment horizontal="right" vertical="center"/>
    </xf>
    <xf numFmtId="0" fontId="10" fillId="13" borderId="23" xfId="0" applyFont="1" applyFill="1" applyBorder="1" applyAlignment="1">
      <alignment horizontal="center" vertical="center"/>
    </xf>
    <xf numFmtId="0" fontId="11" fillId="0" borderId="33" xfId="0" applyFont="1" applyBorder="1" applyAlignment="1">
      <alignment horizontal="center" vertical="center" wrapText="1"/>
    </xf>
    <xf numFmtId="0" fontId="10" fillId="2" borderId="23" xfId="0" applyFont="1" applyFill="1" applyBorder="1" applyAlignment="1">
      <alignment horizontal="center" vertical="center"/>
    </xf>
    <xf numFmtId="0" fontId="11" fillId="13" borderId="60" xfId="0" applyFont="1" applyFill="1" applyBorder="1" applyAlignment="1">
      <alignment horizontal="center" vertical="center"/>
    </xf>
    <xf numFmtId="0" fontId="11" fillId="13" borderId="24" xfId="0" applyFont="1" applyFill="1" applyBorder="1" applyAlignment="1">
      <alignment horizontal="center" vertical="center"/>
    </xf>
    <xf numFmtId="0" fontId="11" fillId="0" borderId="63" xfId="0" applyFont="1" applyBorder="1" applyAlignment="1">
      <alignment horizontal="center" vertical="center"/>
    </xf>
    <xf numFmtId="0" fontId="7" fillId="0" borderId="83" xfId="0" applyFont="1" applyBorder="1" applyAlignment="1">
      <alignment horizontal="center" vertical="center"/>
    </xf>
    <xf numFmtId="0" fontId="8" fillId="0" borderId="23" xfId="0" applyFont="1" applyBorder="1" applyAlignment="1">
      <alignment horizontal="center" vertical="center" wrapText="1"/>
    </xf>
    <xf numFmtId="0" fontId="37" fillId="0" borderId="0" xfId="0" applyFont="1" applyAlignment="1">
      <alignment horizontal="center" vertical="center"/>
    </xf>
    <xf numFmtId="0" fontId="37" fillId="0" borderId="32" xfId="0" applyFont="1" applyBorder="1" applyAlignment="1">
      <alignment horizontal="center" vertical="center"/>
    </xf>
    <xf numFmtId="0" fontId="37" fillId="19" borderId="67" xfId="0" applyFont="1" applyFill="1" applyBorder="1" applyAlignment="1">
      <alignment horizontal="left" vertical="center" wrapText="1"/>
    </xf>
    <xf numFmtId="0" fontId="36" fillId="20" borderId="107" xfId="0" applyFont="1" applyFill="1" applyBorder="1" applyAlignment="1">
      <alignment horizontal="center" vertical="center"/>
    </xf>
    <xf numFmtId="0" fontId="36" fillId="20" borderId="108" xfId="0" applyFont="1" applyFill="1" applyBorder="1" applyAlignment="1">
      <alignment horizontal="center" vertical="center"/>
    </xf>
    <xf numFmtId="0" fontId="36" fillId="20" borderId="109" xfId="0" applyFont="1" applyFill="1" applyBorder="1" applyAlignment="1">
      <alignment horizontal="center" vertical="center"/>
    </xf>
    <xf numFmtId="0" fontId="38" fillId="0" borderId="0" xfId="0" applyFont="1" applyAlignment="1">
      <alignment horizontal="center" vertical="center"/>
    </xf>
    <xf numFmtId="0" fontId="44" fillId="0" borderId="91" xfId="0" applyFont="1" applyBorder="1" applyAlignment="1">
      <alignment horizontal="center" vertical="center" wrapText="1"/>
    </xf>
    <xf numFmtId="0" fontId="44" fillId="0" borderId="30" xfId="0" applyFont="1" applyBorder="1" applyAlignment="1">
      <alignment horizontal="center" vertical="center" wrapText="1"/>
    </xf>
    <xf numFmtId="0" fontId="37" fillId="0" borderId="35" xfId="0" applyFont="1" applyBorder="1" applyAlignment="1">
      <alignment horizontal="center" vertical="center"/>
    </xf>
    <xf numFmtId="0" fontId="37" fillId="0" borderId="57" xfId="0" applyFont="1" applyBorder="1" applyAlignment="1">
      <alignment horizontal="center" vertical="center"/>
    </xf>
    <xf numFmtId="0" fontId="37" fillId="0" borderId="93" xfId="0" applyFont="1" applyBorder="1" applyAlignment="1">
      <alignment horizontal="center" vertical="center"/>
    </xf>
    <xf numFmtId="0" fontId="37" fillId="0" borderId="55" xfId="0" applyFont="1" applyBorder="1" applyAlignment="1">
      <alignment horizontal="center" vertical="center"/>
    </xf>
    <xf numFmtId="0" fontId="42" fillId="0" borderId="0" xfId="0" applyFont="1" applyAlignment="1">
      <alignment horizontal="center" vertical="center"/>
    </xf>
    <xf numFmtId="0" fontId="42" fillId="0" borderId="0" xfId="0" applyFont="1" applyAlignment="1">
      <alignment horizontal="center" vertical="center" wrapText="1"/>
    </xf>
    <xf numFmtId="0" fontId="42" fillId="0" borderId="0" xfId="0" applyFont="1" applyAlignment="1">
      <alignment horizontal="left" vertical="center" wrapText="1"/>
    </xf>
    <xf numFmtId="0" fontId="53" fillId="0" borderId="0" xfId="0" applyFont="1" applyAlignment="1">
      <alignment horizontal="center" vertical="center" wrapText="1"/>
    </xf>
    <xf numFmtId="0" fontId="53" fillId="0" borderId="0" xfId="0" applyFont="1" applyAlignment="1">
      <alignment horizontal="center" vertical="center"/>
    </xf>
    <xf numFmtId="10" fontId="24" fillId="0" borderId="0" xfId="2" applyNumberFormat="1" applyFont="1" applyAlignment="1">
      <alignment horizontal="center" vertical="center"/>
    </xf>
    <xf numFmtId="0" fontId="0" fillId="0" borderId="0" xfId="0" applyAlignment="1">
      <alignment horizontal="left" wrapText="1"/>
    </xf>
    <xf numFmtId="0" fontId="53" fillId="0" borderId="0" xfId="0" applyFont="1" applyAlignment="1">
      <alignment horizontal="left" vertical="center"/>
    </xf>
    <xf numFmtId="10" fontId="25" fillId="0" borderId="0" xfId="2" applyNumberFormat="1" applyFont="1" applyAlignment="1">
      <alignment horizontal="center" vertical="center" wrapText="1"/>
    </xf>
    <xf numFmtId="10" fontId="24" fillId="0" borderId="0" xfId="2" applyNumberFormat="1" applyFont="1" applyAlignment="1">
      <alignment horizontal="center" vertical="center" wrapText="1"/>
    </xf>
    <xf numFmtId="171" fontId="27" fillId="0" borderId="107" xfId="1" applyFont="1" applyBorder="1" applyAlignment="1">
      <alignment horizontal="center" vertical="center"/>
    </xf>
    <xf numFmtId="171" fontId="27" fillId="0" borderId="108" xfId="1" applyFont="1" applyBorder="1" applyAlignment="1">
      <alignment horizontal="center" vertical="center"/>
    </xf>
    <xf numFmtId="171" fontId="27" fillId="0" borderId="109" xfId="1" applyFont="1" applyBorder="1" applyAlignment="1">
      <alignment horizontal="center" vertical="center"/>
    </xf>
    <xf numFmtId="0" fontId="9" fillId="0" borderId="107" xfId="0" applyFont="1" applyBorder="1" applyAlignment="1">
      <alignment horizontal="center" vertical="center" wrapText="1"/>
    </xf>
    <xf numFmtId="0" fontId="9" fillId="0" borderId="108" xfId="0" applyFont="1" applyBorder="1" applyAlignment="1">
      <alignment horizontal="center" vertical="center" wrapText="1"/>
    </xf>
    <xf numFmtId="0" fontId="9" fillId="0" borderId="109" xfId="0" applyFont="1" applyBorder="1" applyAlignment="1">
      <alignment horizontal="center" vertical="center" wrapText="1"/>
    </xf>
    <xf numFmtId="0" fontId="8" fillId="0" borderId="63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8" fillId="0" borderId="64" xfId="0" applyFont="1" applyBorder="1" applyAlignment="1">
      <alignment horizontal="center" vertical="center" wrapText="1"/>
    </xf>
    <xf numFmtId="0" fontId="8" fillId="0" borderId="67" xfId="0" applyFont="1" applyBorder="1" applyAlignment="1">
      <alignment horizontal="center" vertical="center" wrapText="1"/>
    </xf>
  </cellXfs>
  <cellStyles count="16">
    <cellStyle name="Cancel" xfId="15" xr:uid="{4F157420-9414-4E56-82D8-531AF2B07B66}"/>
    <cellStyle name="Excel Built-in Normal" xfId="13" xr:uid="{00000000-0005-0000-0000-000010000000}"/>
    <cellStyle name="Moeda" xfId="14" builtinId="4"/>
    <cellStyle name="Moeda 2" xfId="3" xr:uid="{00000000-0005-0000-0000-000006000000}"/>
    <cellStyle name="Moeda 3" xfId="4" xr:uid="{00000000-0005-0000-0000-000007000000}"/>
    <cellStyle name="Normal" xfId="0" builtinId="0"/>
    <cellStyle name="Normal 2" xfId="5" xr:uid="{00000000-0005-0000-0000-000008000000}"/>
    <cellStyle name="Normal 2 2" xfId="6" xr:uid="{00000000-0005-0000-0000-000009000000}"/>
    <cellStyle name="Normal 2 2 2" xfId="7" xr:uid="{00000000-0005-0000-0000-00000A000000}"/>
    <cellStyle name="Normal 2 3" xfId="8" xr:uid="{00000000-0005-0000-0000-00000B000000}"/>
    <cellStyle name="Porcentagem" xfId="2" builtinId="5"/>
    <cellStyle name="Porcentagem 2" xfId="9" xr:uid="{00000000-0005-0000-0000-00000C000000}"/>
    <cellStyle name="Porcentagem 2 2" xfId="10" xr:uid="{00000000-0005-0000-0000-00000D000000}"/>
    <cellStyle name="Separador de milhares 4" xfId="11" xr:uid="{00000000-0005-0000-0000-00000E000000}"/>
    <cellStyle name="Vírgula" xfId="1" builtinId="3"/>
    <cellStyle name="Vírgula 2" xfId="12" xr:uid="{00000000-0005-0000-0000-00000F000000}"/>
  </cellStyles>
  <dxfs count="5">
    <dxf>
      <font>
        <color rgb="FF006100"/>
      </font>
      <fill>
        <patternFill>
          <bgColor rgb="FFC6EFCE"/>
        </patternFill>
      </fill>
    </dxf>
    <dxf>
      <font>
        <color theme="4" tint="-0.24994659260841701"/>
      </font>
      <fill>
        <patternFill>
          <fgColor theme="4" tint="0.3999450666829432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rgb="FFFFC7CE"/>
        </patternFill>
      </fill>
    </dxf>
    <dxf>
      <font>
        <color auto="1"/>
      </font>
    </dxf>
    <dxf>
      <font>
        <color rgb="FF9C5700"/>
      </font>
      <fill>
        <patternFill>
          <bgColor rgb="FFFFEB9C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A6A6A6"/>
      <rgbColor rgb="FF993366"/>
      <rgbColor rgb="FFFFFFCC"/>
      <rgbColor rgb="FFDAE3F3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E2F0D9"/>
      <rgbColor rgb="FFFFFF99"/>
      <rgbColor rgb="FFBFBFBF"/>
      <rgbColor rgb="FFFF99CC"/>
      <rgbColor rgb="FFCC99FF"/>
      <rgbColor rgb="FFFFD966"/>
      <rgbColor rgb="FF2E75B6"/>
      <rgbColor rgb="FF33CCCC"/>
      <rgbColor rgb="FF92D05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'CURVA ABC'!$I$6</c:f>
              <c:strCache>
                <c:ptCount val="1"/>
                <c:pt idx="0">
                  <c:v>Percentual (%)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'CURVA ABC'!$A$7:$A$38</c:f>
              <c:strCache>
                <c:ptCount val="32"/>
                <c:pt idx="0">
                  <c:v>ARMAÇÃO DE CORTINA DE CONTENÇÃO EM CONCRETO ARMADO, COM AÇO CA-50 DE 10 MM – MONTAGEM</c:v>
                </c:pt>
                <c:pt idx="1">
                  <c:v>ARMAÇÃO DE CORTINA DE CONTENÇÃO EM CONCRETO ARMADO, COM AÇO CA-50 DE 10 MM – MONTAGEM</c:v>
                </c:pt>
                <c:pt idx="2">
                  <c:v>EXECUÇÃO DE GRAMPO PARA SOLO GRAMPEADO COM COMPRIMENTO MAIOR QUE 10 M, DIÂMETRO DE 7 CM, PERFURAÇÃO COM EQUIPAMENTO MANUAL E ARMADURA COM DIÂMETRO DE 20 MM.</c:v>
                </c:pt>
                <c:pt idx="3">
                  <c:v>EXECUÇÃO DE GRAMPO PARA SOLO GRAMPEADO COM COMPRIMENTO MAIOR QUE 10 M, DIÂMETRO DE 7 CM, PERFURAÇÃO COM EQUIPAMENTO MANUAL E ARMADURA COM DIÂMETRO DE 20 MM.</c:v>
                </c:pt>
                <c:pt idx="4">
                  <c:v>DRENO PROFUNDO</c:v>
                </c:pt>
                <c:pt idx="5">
                  <c:v>CONCRETAGEM DE CORTINA DE CONTENÇÃO, ATRAVÉS DE BOMBA LANÇAMENTO, ADENSAMENTO E ACABAMENTO.</c:v>
                </c:pt>
                <c:pt idx="6">
                  <c:v>ARMAÇÃO DE CORTINA DE CONTENÇÃO EM CONCRETO ARMADO, COM AÇO CA-50 DE 16 MM – MONTAGEM.</c:v>
                </c:pt>
                <c:pt idx="7">
                  <c:v>CONCRETAGEM DE CORTINA DE CONTENÇÃO, ATRAVÉS DE BOMBA LANÇAMENTO, ADENSAMENTO E ACABAMENTO.</c:v>
                </c:pt>
                <c:pt idx="8">
                  <c:v>ARMAÇÃO DE CORTINA DE CONTENÇÃO EM CONCRETO ARMADO, COM AÇO CA-50 DE 16 MM – MONTAGEM.</c:v>
                </c:pt>
                <c:pt idx="9">
                  <c:v>PINTURA COM TINTA ALQUÍDICA DE FUNDO (TIPO ZARCÃO) PULVERIZADA SOBRE SUPERFÍCIES METÁLICAS (EXCETO PERFIL) EXECUTADO EM OBRA (POR DEMÃO).</c:v>
                </c:pt>
                <c:pt idx="10">
                  <c:v>TESTE DE FLUENCIA, RECEBIMENTO E QUALIFICAÇÃO</c:v>
                </c:pt>
                <c:pt idx="11">
                  <c:v>PINTURA COM TINTA ALQUÍDICA DE FUNDO (TIPO ZARCÃO) PULVERIZADA SOBRE SUPERFÍCIES METÁLICAS (EXCETO PERFIL) EXECUTADO EM OBRA (POR DEMÃO).</c:v>
                </c:pt>
                <c:pt idx="12">
                  <c:v>EXECUÇÃO DE DEPÓSITO EM CANTEIRO DE OBRA EM CHAPA DE MADEIRA COMPENSADA, NÃO INCLUSO MOBILIÁRIO.</c:v>
                </c:pt>
                <c:pt idx="13">
                  <c:v>MANTA GEOTEXTIL TECIDO DE LAMINETES DE POLIPROPILENO, RESISTENCIA A TRACAO = *25* KN/M</c:v>
                </c:pt>
                <c:pt idx="14">
                  <c:v>TRANSPORTE COM CAMINHÃO BASCULANTE DE 6 M³, EM VIA URBANA EM REVESTIME NTO PRIMÁRIO (UNIDADE: M3XKM).</c:v>
                </c:pt>
                <c:pt idx="15">
                  <c:v>FABRICAÇÃO, MONTAGEM E DESMONTAGEM DE FÔRMA PARA CORTINA DE CONTENÇÃO, EM CHAPA DE MADEIRA COMPENSADA PLASTIFICADA, E = 18 MM, 10 UTILIZAÇÕES. (INCLUSO ESCORAMENTO)</c:v>
                </c:pt>
                <c:pt idx="16">
                  <c:v>FABRICAÇÃO, MONTAGEM E DESMONTAGEM DE FÔRMA PARA CORTINA DE CONTENÇÃO, EM CHAPA DE MADEIRA COMPENSADA PLASTIFICADA, E = 18 MM, 10 UTILIZAÇÕES (INCLUSO ESCORAMENTO)</c:v>
                </c:pt>
                <c:pt idx="17">
                  <c:v>CANALETA MEIA CANA PRÉ-MOLDADA DE CONCRETO (D = 30 CM) - FORNECIMENTO  E INSTALAÇÃO </c:v>
                </c:pt>
                <c:pt idx="18">
                  <c:v>CARGA, MANOBRA E DESCARGA DE SOLOS E MATERIAIS GRANULARES EM CAMINHÃO M3 BASCULANTE 6 M³ - CARGA COM PÁ CARREGADEIRA</c:v>
                </c:pt>
                <c:pt idx="19">
                  <c:v>TRANSPORTE COM CAMINHÃO BASCULANTE DE 6 M³, EM VIA URBANA PAVIMENTADA,  ATÉ 30 KM (UNIDADE: M3XKM).</c:v>
                </c:pt>
                <c:pt idx="20">
                  <c:v>EXECUÇÃO E COMPACTAÇÃO DE ATERRO COM SOLO PREDOMINANTEMENTE ARGILOSO – EXCLUSIVE SOLO, ESCAVAÇÃO, CARGA E TRANSPORTE.</c:v>
                </c:pt>
                <c:pt idx="21">
                  <c:v>TRATAMENTO DE JUNTA DE DILATAÇÃO, COM TARUGO DE POLIETILENO E SELANTE, INCLUSO PREENCHIMENTO COM ESPUMA EXPANSIVA PU.</c:v>
                </c:pt>
                <c:pt idx="22">
                  <c:v>ESCAVAÇÃO HORIZONTAL EM SOLO DE 1A CATEGORIA COM TRATOR DE ESTEIRAS (100HP/LÂMINA: 2,19M3).</c:v>
                </c:pt>
                <c:pt idx="23">
                  <c:v>DRENO RASO</c:v>
                </c:pt>
                <c:pt idx="24">
                  <c:v>CAIXA ENTERRADA HIDRÁULICA RETANGULAR EM ALVENARIA COM TIJOLOS CERÂMICOS MACIÇOS, DIMENSÕES INTERNAS: 0,4X0,4X0,4 M PARA REDE DE DRENAGEM</c:v>
                </c:pt>
                <c:pt idx="25">
                  <c:v>TRATAMENTO DE JUNTA DE DILATAÇÃO, COM TARUGO DE POLIETILENO E SELANTE, INCLUSO PREENCHIMENTO COM ESPUMA EXPANSIVA PU.</c:v>
                </c:pt>
                <c:pt idx="26">
                  <c:v>PLACA DE OBRA</c:v>
                </c:pt>
                <c:pt idx="27">
                  <c:v>LIMPEZA MANUAL DE VEGETAÇÃO EM TERRENO COM ENXADA</c:v>
                </c:pt>
                <c:pt idx="28">
                  <c:v>EXECUÇÃO DE PROTEÇÃO DA CABEÇA DO TIRANTE COM USO DE FÔRMAS EM CHAPA COMPENSADA PLASTIFICADA DE MADEIRA E CONCRETO FCK =15 MPA.</c:v>
                </c:pt>
                <c:pt idx="29">
                  <c:v>EXECUÇÃO DE PROTEÇÃO DA CABEÇA DO TIRANTE COM USO DE FÔRMAS EM CHAPA COMPENSADA PLASTIFICADA DE MADEIRA E CONCRETO FCK =15 MPA.</c:v>
                </c:pt>
                <c:pt idx="30">
                  <c:v>LIMPEZA DE SUPERFÍCIE COM JATO DE ALTA PRESSÃO</c:v>
                </c:pt>
                <c:pt idx="31">
                  <c:v>EQUIPE DE TOPOGRAFIA COMPOSTA DE 1 TOPOGRAFO. AUXILIAR DE TOPOGRAFIA, TEODOLITO E DEMAIS ACESSÓRIOS, INCLUINDO DESENHO</c:v>
                </c:pt>
              </c:strCache>
            </c:strRef>
          </c:cat>
          <c:val>
            <c:numRef>
              <c:f>'CURVA ABC'!$I$7:$I$38</c:f>
              <c:numCache>
                <c:formatCode>0.00%</c:formatCode>
                <c:ptCount val="32"/>
                <c:pt idx="0">
                  <c:v>0.19241745839211893</c:v>
                </c:pt>
                <c:pt idx="1">
                  <c:v>0.14196876836636196</c:v>
                </c:pt>
                <c:pt idx="2">
                  <c:v>0.10391201062023769</c:v>
                </c:pt>
                <c:pt idx="3">
                  <c:v>8.0820452704629314E-2</c:v>
                </c:pt>
                <c:pt idx="4">
                  <c:v>8.3853664909498471E-2</c:v>
                </c:pt>
                <c:pt idx="5">
                  <c:v>6.0973886398314074E-2</c:v>
                </c:pt>
                <c:pt idx="6">
                  <c:v>5.2274548221490393E-2</c:v>
                </c:pt>
                <c:pt idx="7">
                  <c:v>4.5083445114247292E-2</c:v>
                </c:pt>
                <c:pt idx="8">
                  <c:v>4.1799283985921178E-2</c:v>
                </c:pt>
                <c:pt idx="9">
                  <c:v>3.6275710395907615E-2</c:v>
                </c:pt>
                <c:pt idx="10">
                  <c:v>3.5243914743883803E-2</c:v>
                </c:pt>
                <c:pt idx="11">
                  <c:v>2.715153323461841E-2</c:v>
                </c:pt>
                <c:pt idx="12">
                  <c:v>1.9072285760737193E-2</c:v>
                </c:pt>
                <c:pt idx="13">
                  <c:v>2.2101124722636997E-3</c:v>
                </c:pt>
                <c:pt idx="14">
                  <c:v>1.4642801647766745E-2</c:v>
                </c:pt>
                <c:pt idx="15">
                  <c:v>1.2216170091923316E-2</c:v>
                </c:pt>
                <c:pt idx="16">
                  <c:v>9.0325066414130087E-3</c:v>
                </c:pt>
                <c:pt idx="17">
                  <c:v>6.0732602987805693E-3</c:v>
                </c:pt>
                <c:pt idx="18">
                  <c:v>1.3961709050995443E-3</c:v>
                </c:pt>
                <c:pt idx="19">
                  <c:v>5.1325896076403867E-3</c:v>
                </c:pt>
                <c:pt idx="20">
                  <c:v>5.0222101739936008E-3</c:v>
                </c:pt>
                <c:pt idx="21">
                  <c:v>3.170945494977458E-3</c:v>
                </c:pt>
                <c:pt idx="22">
                  <c:v>7.6972304265859155E-4</c:v>
                </c:pt>
                <c:pt idx="23">
                  <c:v>3.1158811259056523E-3</c:v>
                </c:pt>
                <c:pt idx="24">
                  <c:v>2.9198935458022083E-3</c:v>
                </c:pt>
                <c:pt idx="25">
                  <c:v>2.8735825081566096E-3</c:v>
                </c:pt>
                <c:pt idx="26">
                  <c:v>2.5751710366414705E-3</c:v>
                </c:pt>
                <c:pt idx="27">
                  <c:v>1.5979575178270817E-3</c:v>
                </c:pt>
                <c:pt idx="28">
                  <c:v>1.4791296566079319E-3</c:v>
                </c:pt>
                <c:pt idx="29">
                  <c:v>1.1504341773617248E-3</c:v>
                </c:pt>
                <c:pt idx="30">
                  <c:v>3.0118320961500878E-3</c:v>
                </c:pt>
                <c:pt idx="31">
                  <c:v>7.6266511106387949E-4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3E6-4BCA-9702-1B3079CA62C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108165808"/>
        <c:axId val="1922901632"/>
      </c:barChart>
      <c:lineChart>
        <c:grouping val="standard"/>
        <c:varyColors val="0"/>
        <c:ser>
          <c:idx val="1"/>
          <c:order val="1"/>
          <c:tx>
            <c:strRef>
              <c:f>'CURVA ABC'!$J$6</c:f>
              <c:strCache>
                <c:ptCount val="1"/>
                <c:pt idx="0">
                  <c:v>Percentual acumulado (%)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'CURVA ABC'!$A$7:$A$38</c:f>
              <c:strCache>
                <c:ptCount val="32"/>
                <c:pt idx="0">
                  <c:v>ARMAÇÃO DE CORTINA DE CONTENÇÃO EM CONCRETO ARMADO, COM AÇO CA-50 DE 10 MM – MONTAGEM</c:v>
                </c:pt>
                <c:pt idx="1">
                  <c:v>ARMAÇÃO DE CORTINA DE CONTENÇÃO EM CONCRETO ARMADO, COM AÇO CA-50 DE 10 MM – MONTAGEM</c:v>
                </c:pt>
                <c:pt idx="2">
                  <c:v>EXECUÇÃO DE GRAMPO PARA SOLO GRAMPEADO COM COMPRIMENTO MAIOR QUE 10 M, DIÂMETRO DE 7 CM, PERFURAÇÃO COM EQUIPAMENTO MANUAL E ARMADURA COM DIÂMETRO DE 20 MM.</c:v>
                </c:pt>
                <c:pt idx="3">
                  <c:v>EXECUÇÃO DE GRAMPO PARA SOLO GRAMPEADO COM COMPRIMENTO MAIOR QUE 10 M, DIÂMETRO DE 7 CM, PERFURAÇÃO COM EQUIPAMENTO MANUAL E ARMADURA COM DIÂMETRO DE 20 MM.</c:v>
                </c:pt>
                <c:pt idx="4">
                  <c:v>DRENO PROFUNDO</c:v>
                </c:pt>
                <c:pt idx="5">
                  <c:v>CONCRETAGEM DE CORTINA DE CONTENÇÃO, ATRAVÉS DE BOMBA LANÇAMENTO, ADENSAMENTO E ACABAMENTO.</c:v>
                </c:pt>
                <c:pt idx="6">
                  <c:v>ARMAÇÃO DE CORTINA DE CONTENÇÃO EM CONCRETO ARMADO, COM AÇO CA-50 DE 16 MM – MONTAGEM.</c:v>
                </c:pt>
                <c:pt idx="7">
                  <c:v>CONCRETAGEM DE CORTINA DE CONTENÇÃO, ATRAVÉS DE BOMBA LANÇAMENTO, ADENSAMENTO E ACABAMENTO.</c:v>
                </c:pt>
                <c:pt idx="8">
                  <c:v>ARMAÇÃO DE CORTINA DE CONTENÇÃO EM CONCRETO ARMADO, COM AÇO CA-50 DE 16 MM – MONTAGEM.</c:v>
                </c:pt>
                <c:pt idx="9">
                  <c:v>PINTURA COM TINTA ALQUÍDICA DE FUNDO (TIPO ZARCÃO) PULVERIZADA SOBRE SUPERFÍCIES METÁLICAS (EXCETO PERFIL) EXECUTADO EM OBRA (POR DEMÃO).</c:v>
                </c:pt>
                <c:pt idx="10">
                  <c:v>TESTE DE FLUENCIA, RECEBIMENTO E QUALIFICAÇÃO</c:v>
                </c:pt>
                <c:pt idx="11">
                  <c:v>PINTURA COM TINTA ALQUÍDICA DE FUNDO (TIPO ZARCÃO) PULVERIZADA SOBRE SUPERFÍCIES METÁLICAS (EXCETO PERFIL) EXECUTADO EM OBRA (POR DEMÃO).</c:v>
                </c:pt>
                <c:pt idx="12">
                  <c:v>EXECUÇÃO DE DEPÓSITO EM CANTEIRO DE OBRA EM CHAPA DE MADEIRA COMPENSADA, NÃO INCLUSO MOBILIÁRIO.</c:v>
                </c:pt>
                <c:pt idx="13">
                  <c:v>MANTA GEOTEXTIL TECIDO DE LAMINETES DE POLIPROPILENO, RESISTENCIA A TRACAO = *25* KN/M</c:v>
                </c:pt>
                <c:pt idx="14">
                  <c:v>TRANSPORTE COM CAMINHÃO BASCULANTE DE 6 M³, EM VIA URBANA EM REVESTIME NTO PRIMÁRIO (UNIDADE: M3XKM).</c:v>
                </c:pt>
                <c:pt idx="15">
                  <c:v>FABRICAÇÃO, MONTAGEM E DESMONTAGEM DE FÔRMA PARA CORTINA DE CONTENÇÃO, EM CHAPA DE MADEIRA COMPENSADA PLASTIFICADA, E = 18 MM, 10 UTILIZAÇÕES. (INCLUSO ESCORAMENTO)</c:v>
                </c:pt>
                <c:pt idx="16">
                  <c:v>FABRICAÇÃO, MONTAGEM E DESMONTAGEM DE FÔRMA PARA CORTINA DE CONTENÇÃO, EM CHAPA DE MADEIRA COMPENSADA PLASTIFICADA, E = 18 MM, 10 UTILIZAÇÕES (INCLUSO ESCORAMENTO)</c:v>
                </c:pt>
                <c:pt idx="17">
                  <c:v>CANALETA MEIA CANA PRÉ-MOLDADA DE CONCRETO (D = 30 CM) - FORNECIMENTO  E INSTALAÇÃO </c:v>
                </c:pt>
                <c:pt idx="18">
                  <c:v>CARGA, MANOBRA E DESCARGA DE SOLOS E MATERIAIS GRANULARES EM CAMINHÃO M3 BASCULANTE 6 M³ - CARGA COM PÁ CARREGADEIRA</c:v>
                </c:pt>
                <c:pt idx="19">
                  <c:v>TRANSPORTE COM CAMINHÃO BASCULANTE DE 6 M³, EM VIA URBANA PAVIMENTADA,  ATÉ 30 KM (UNIDADE: M3XKM).</c:v>
                </c:pt>
                <c:pt idx="20">
                  <c:v>EXECUÇÃO E COMPACTAÇÃO DE ATERRO COM SOLO PREDOMINANTEMENTE ARGILOSO – EXCLUSIVE SOLO, ESCAVAÇÃO, CARGA E TRANSPORTE.</c:v>
                </c:pt>
                <c:pt idx="21">
                  <c:v>TRATAMENTO DE JUNTA DE DILATAÇÃO, COM TARUGO DE POLIETILENO E SELANTE, INCLUSO PREENCHIMENTO COM ESPUMA EXPANSIVA PU.</c:v>
                </c:pt>
                <c:pt idx="22">
                  <c:v>ESCAVAÇÃO HORIZONTAL EM SOLO DE 1A CATEGORIA COM TRATOR DE ESTEIRAS (100HP/LÂMINA: 2,19M3).</c:v>
                </c:pt>
                <c:pt idx="23">
                  <c:v>DRENO RASO</c:v>
                </c:pt>
                <c:pt idx="24">
                  <c:v>CAIXA ENTERRADA HIDRÁULICA RETANGULAR EM ALVENARIA COM TIJOLOS CERÂMICOS MACIÇOS, DIMENSÕES INTERNAS: 0,4X0,4X0,4 M PARA REDE DE DRENAGEM</c:v>
                </c:pt>
                <c:pt idx="25">
                  <c:v>TRATAMENTO DE JUNTA DE DILATAÇÃO, COM TARUGO DE POLIETILENO E SELANTE, INCLUSO PREENCHIMENTO COM ESPUMA EXPANSIVA PU.</c:v>
                </c:pt>
                <c:pt idx="26">
                  <c:v>PLACA DE OBRA</c:v>
                </c:pt>
                <c:pt idx="27">
                  <c:v>LIMPEZA MANUAL DE VEGETAÇÃO EM TERRENO COM ENXADA</c:v>
                </c:pt>
                <c:pt idx="28">
                  <c:v>EXECUÇÃO DE PROTEÇÃO DA CABEÇA DO TIRANTE COM USO DE FÔRMAS EM CHAPA COMPENSADA PLASTIFICADA DE MADEIRA E CONCRETO FCK =15 MPA.</c:v>
                </c:pt>
                <c:pt idx="29">
                  <c:v>EXECUÇÃO DE PROTEÇÃO DA CABEÇA DO TIRANTE COM USO DE FÔRMAS EM CHAPA COMPENSADA PLASTIFICADA DE MADEIRA E CONCRETO FCK =15 MPA.</c:v>
                </c:pt>
                <c:pt idx="30">
                  <c:v>LIMPEZA DE SUPERFÍCIE COM JATO DE ALTA PRESSÃO</c:v>
                </c:pt>
                <c:pt idx="31">
                  <c:v>EQUIPE DE TOPOGRAFIA COMPOSTA DE 1 TOPOGRAFO. AUXILIAR DE TOPOGRAFIA, TEODOLITO E DEMAIS ACESSÓRIOS, INCLUINDO DESENHO</c:v>
                </c:pt>
              </c:strCache>
            </c:strRef>
          </c:cat>
          <c:val>
            <c:numRef>
              <c:f>'CURVA ABC'!$J$7:$J$38</c:f>
              <c:numCache>
                <c:formatCode>0.00%</c:formatCode>
                <c:ptCount val="32"/>
                <c:pt idx="0">
                  <c:v>0.19241745839211893</c:v>
                </c:pt>
                <c:pt idx="1">
                  <c:v>0.3343862267584809</c:v>
                </c:pt>
                <c:pt idx="2">
                  <c:v>0.43829823737871859</c:v>
                </c:pt>
                <c:pt idx="3">
                  <c:v>0.51911869008334788</c:v>
                </c:pt>
                <c:pt idx="4">
                  <c:v>0.60297235499284629</c:v>
                </c:pt>
                <c:pt idx="5">
                  <c:v>0.66394624139116032</c:v>
                </c:pt>
                <c:pt idx="6">
                  <c:v>0.71622078961265068</c:v>
                </c:pt>
                <c:pt idx="7">
                  <c:v>0.76130423472689801</c:v>
                </c:pt>
                <c:pt idx="8">
                  <c:v>0.80310351871281915</c:v>
                </c:pt>
                <c:pt idx="9">
                  <c:v>0.83937922910872675</c:v>
                </c:pt>
                <c:pt idx="10">
                  <c:v>0.87462314385261053</c:v>
                </c:pt>
                <c:pt idx="11">
                  <c:v>0.90177467708722892</c:v>
                </c:pt>
                <c:pt idx="12">
                  <c:v>0.92084696284796608</c:v>
                </c:pt>
                <c:pt idx="13">
                  <c:v>0.92305707532022974</c:v>
                </c:pt>
                <c:pt idx="14">
                  <c:v>0.9376998769679965</c:v>
                </c:pt>
                <c:pt idx="15">
                  <c:v>0.94991604705991983</c:v>
                </c:pt>
                <c:pt idx="16">
                  <c:v>0.95894855370133281</c:v>
                </c:pt>
                <c:pt idx="17">
                  <c:v>0.96502181400011333</c:v>
                </c:pt>
                <c:pt idx="18">
                  <c:v>0.96641798490521291</c:v>
                </c:pt>
                <c:pt idx="19">
                  <c:v>0.97155057451285332</c:v>
                </c:pt>
                <c:pt idx="20">
                  <c:v>0.97657278468684694</c:v>
                </c:pt>
                <c:pt idx="21">
                  <c:v>0.97974373018182437</c:v>
                </c:pt>
                <c:pt idx="22">
                  <c:v>0.98051345322448291</c:v>
                </c:pt>
                <c:pt idx="23">
                  <c:v>0.98362933435038857</c:v>
                </c:pt>
                <c:pt idx="24">
                  <c:v>0.98654922789619082</c:v>
                </c:pt>
                <c:pt idx="25">
                  <c:v>0.98942281040434743</c:v>
                </c:pt>
                <c:pt idx="26">
                  <c:v>0.99199798144098894</c:v>
                </c:pt>
                <c:pt idx="27">
                  <c:v>0.99359593895881604</c:v>
                </c:pt>
                <c:pt idx="28">
                  <c:v>0.99507506861542394</c:v>
                </c:pt>
                <c:pt idx="29">
                  <c:v>0.99622550279278566</c:v>
                </c:pt>
                <c:pt idx="30">
                  <c:v>0.99923733488893574</c:v>
                </c:pt>
                <c:pt idx="31">
                  <c:v>0.99999999999999967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3E6-4BCA-9702-1B3079CA62C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08165808"/>
        <c:axId val="1922901632"/>
      </c:lineChart>
      <c:catAx>
        <c:axId val="21081658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922901632"/>
        <c:crosses val="autoZero"/>
        <c:auto val="1"/>
        <c:lblAlgn val="ctr"/>
        <c:lblOffset val="100"/>
        <c:noMultiLvlLbl val="0"/>
      </c:catAx>
      <c:valAx>
        <c:axId val="19229016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21081658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wmf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emf"/><Relationship Id="rId2" Type="http://schemas.openxmlformats.org/officeDocument/2006/relationships/image" Target="../media/image5.emf"/><Relationship Id="rId1" Type="http://schemas.openxmlformats.org/officeDocument/2006/relationships/image" Target="../media/image4.emf"/><Relationship Id="rId5" Type="http://schemas.openxmlformats.org/officeDocument/2006/relationships/image" Target="../media/image8.emf"/><Relationship Id="rId4" Type="http://schemas.openxmlformats.org/officeDocument/2006/relationships/image" Target="../media/image7.emf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19049</xdr:colOff>
      <xdr:row>0</xdr:row>
      <xdr:rowOff>28575</xdr:rowOff>
    </xdr:from>
    <xdr:to>
      <xdr:col>1</xdr:col>
      <xdr:colOff>923924</xdr:colOff>
      <xdr:row>4</xdr:row>
      <xdr:rowOff>107950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28649" y="28575"/>
          <a:ext cx="904875" cy="78422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172080</xdr:colOff>
      <xdr:row>0</xdr:row>
      <xdr:rowOff>37440</xdr:rowOff>
    </xdr:from>
    <xdr:to>
      <xdr:col>2</xdr:col>
      <xdr:colOff>1090080</xdr:colOff>
      <xdr:row>3</xdr:row>
      <xdr:rowOff>174600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172080" y="37440"/>
          <a:ext cx="2026440" cy="746640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3</xdr:col>
      <xdr:colOff>57600</xdr:colOff>
      <xdr:row>2</xdr:row>
      <xdr:rowOff>65160</xdr:rowOff>
    </xdr:from>
    <xdr:to>
      <xdr:col>4</xdr:col>
      <xdr:colOff>1441080</xdr:colOff>
      <xdr:row>3</xdr:row>
      <xdr:rowOff>124200</xdr:rowOff>
    </xdr:to>
    <xdr:pic>
      <xdr:nvPicPr>
        <xdr:cNvPr id="2" name="Picture 1_0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1872720" y="446040"/>
          <a:ext cx="1988640" cy="502200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15120</xdr:colOff>
      <xdr:row>0</xdr:row>
      <xdr:rowOff>15120</xdr:rowOff>
    </xdr:from>
    <xdr:to>
      <xdr:col>2</xdr:col>
      <xdr:colOff>933120</xdr:colOff>
      <xdr:row>3</xdr:row>
      <xdr:rowOff>152280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15120" y="15120"/>
          <a:ext cx="2026440" cy="736920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15120</xdr:colOff>
      <xdr:row>0</xdr:row>
      <xdr:rowOff>14400</xdr:rowOff>
    </xdr:from>
    <xdr:to>
      <xdr:col>2</xdr:col>
      <xdr:colOff>934200</xdr:colOff>
      <xdr:row>3</xdr:row>
      <xdr:rowOff>75240</xdr:rowOff>
    </xdr:to>
    <xdr:pic>
      <xdr:nvPicPr>
        <xdr:cNvPr id="3" name="Picture 1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15120" y="14400"/>
          <a:ext cx="2027520" cy="708480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180975</xdr:colOff>
      <xdr:row>5</xdr:row>
      <xdr:rowOff>104775</xdr:rowOff>
    </xdr:from>
    <xdr:to>
      <xdr:col>12</xdr:col>
      <xdr:colOff>28575</xdr:colOff>
      <xdr:row>19</xdr:row>
      <xdr:rowOff>3175</xdr:rowOff>
    </xdr:to>
    <xdr:pic>
      <xdr:nvPicPr>
        <xdr:cNvPr id="2" name="Imagem 5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52575" y="1552575"/>
          <a:ext cx="6705600" cy="3441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155575</xdr:colOff>
      <xdr:row>22</xdr:row>
      <xdr:rowOff>73025</xdr:rowOff>
    </xdr:from>
    <xdr:to>
      <xdr:col>14</xdr:col>
      <xdr:colOff>9525</xdr:colOff>
      <xdr:row>36</xdr:row>
      <xdr:rowOff>177800</xdr:rowOff>
    </xdr:to>
    <xdr:pic>
      <xdr:nvPicPr>
        <xdr:cNvPr id="3" name="Imagem 8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70375" y="5711825"/>
          <a:ext cx="5340350" cy="2714625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2</xdr:col>
      <xdr:colOff>400050</xdr:colOff>
      <xdr:row>38</xdr:row>
      <xdr:rowOff>117475</xdr:rowOff>
    </xdr:from>
    <xdr:to>
      <xdr:col>17</xdr:col>
      <xdr:colOff>282575</xdr:colOff>
      <xdr:row>42</xdr:row>
      <xdr:rowOff>123825</xdr:rowOff>
    </xdr:to>
    <xdr:pic>
      <xdr:nvPicPr>
        <xdr:cNvPr id="4" name="Imagem 10"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71650" y="8737600"/>
          <a:ext cx="10169525" cy="76835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7</xdr:col>
      <xdr:colOff>663575</xdr:colOff>
      <xdr:row>43</xdr:row>
      <xdr:rowOff>57150</xdr:rowOff>
    </xdr:from>
    <xdr:to>
      <xdr:col>12</xdr:col>
      <xdr:colOff>266700</xdr:colOff>
      <xdr:row>53</xdr:row>
      <xdr:rowOff>41275</xdr:rowOff>
    </xdr:to>
    <xdr:pic>
      <xdr:nvPicPr>
        <xdr:cNvPr id="5" name="Imagem 11">
          <a:extLst>
            <a:ext uri="{FF2B5EF4-FFF2-40B4-BE49-F238E27FC236}">
              <a16:creationId xmlns:a16="http://schemas.microsoft.com/office/drawing/2014/main" id="{00000000-0008-0000-05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64175" y="9629775"/>
          <a:ext cx="3032125" cy="1822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7</xdr:col>
      <xdr:colOff>127000</xdr:colOff>
      <xdr:row>54</xdr:row>
      <xdr:rowOff>92075</xdr:rowOff>
    </xdr:from>
    <xdr:to>
      <xdr:col>13</xdr:col>
      <xdr:colOff>190500</xdr:colOff>
      <xdr:row>60</xdr:row>
      <xdr:rowOff>104775</xdr:rowOff>
    </xdr:to>
    <xdr:pic>
      <xdr:nvPicPr>
        <xdr:cNvPr id="6" name="Imagem 13">
          <a:extLst>
            <a:ext uri="{FF2B5EF4-FFF2-40B4-BE49-F238E27FC236}">
              <a16:creationId xmlns:a16="http://schemas.microsoft.com/office/drawing/2014/main" id="{00000000-0008-0000-05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27600" y="11684000"/>
          <a:ext cx="4178300" cy="1098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390525</xdr:colOff>
          <xdr:row>0</xdr:row>
          <xdr:rowOff>66675</xdr:rowOff>
        </xdr:from>
        <xdr:to>
          <xdr:col>5</xdr:col>
          <xdr:colOff>457200</xdr:colOff>
          <xdr:row>2</xdr:row>
          <xdr:rowOff>0</xdr:rowOff>
        </xdr:to>
        <xdr:sp macro="" textlink="">
          <xdr:nvSpPr>
            <xdr:cNvPr id="8193" name="Object 1" hidden="1">
              <a:extLst>
                <a:ext uri="{63B3BB69-23CF-44E3-9099-C40C66FF867C}">
                  <a14:compatExt spid="_x0000_s8193"/>
                </a:ext>
                <a:ext uri="{FF2B5EF4-FFF2-40B4-BE49-F238E27FC236}">
                  <a16:creationId xmlns:a16="http://schemas.microsoft.com/office/drawing/2014/main" id="{00000000-0008-0000-0500-000001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44824</xdr:colOff>
      <xdr:row>1</xdr:row>
      <xdr:rowOff>33617</xdr:rowOff>
    </xdr:from>
    <xdr:to>
      <xdr:col>32</xdr:col>
      <xdr:colOff>627530</xdr:colOff>
      <xdr:row>12</xdr:row>
      <xdr:rowOff>593912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luis_\Downloads\danpf\Desktop\Trabalho\Agencia%20Nacional%20de%20Minera&#231;&#227;o%20-%20ANM\Execu&#231;&#227;o%20dos%20Servi&#231;os\Etapa%204%20-%20Or&#231;amento%20e%20Memorias%20de%20Calculo\MODELO%20OR&#199;AMENTO%20ANM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DI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5.bin"/><Relationship Id="rId5" Type="http://schemas.openxmlformats.org/officeDocument/2006/relationships/image" Target="../media/image3.emf"/><Relationship Id="rId4" Type="http://schemas.openxmlformats.org/officeDocument/2006/relationships/oleObject" Target="../embeddings/oleObject1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DB09EE-A3CD-4D61-8283-0A3771DE8A24}">
  <dimension ref="A1:D10"/>
  <sheetViews>
    <sheetView showGridLines="0" tabSelected="1" workbookViewId="0">
      <selection activeCell="C22" sqref="C22"/>
    </sheetView>
  </sheetViews>
  <sheetFormatPr defaultRowHeight="14.25"/>
  <cols>
    <col min="2" max="2" width="12.625" customWidth="1"/>
    <col min="3" max="3" width="69.625" bestFit="1" customWidth="1"/>
    <col min="4" max="4" width="30.125" customWidth="1"/>
  </cols>
  <sheetData>
    <row r="1" spans="1:4">
      <c r="A1" s="267" t="s">
        <v>234</v>
      </c>
      <c r="B1" s="270"/>
      <c r="C1" s="144" t="s">
        <v>235</v>
      </c>
      <c r="D1" s="145"/>
    </row>
    <row r="2" spans="1:4">
      <c r="A2" s="268"/>
      <c r="B2" s="271"/>
      <c r="C2" s="146" t="s">
        <v>236</v>
      </c>
      <c r="D2" s="147"/>
    </row>
    <row r="3" spans="1:4">
      <c r="A3" s="268"/>
      <c r="B3" s="271"/>
      <c r="C3" s="148" t="s">
        <v>240</v>
      </c>
      <c r="D3" s="149"/>
    </row>
    <row r="4" spans="1:4">
      <c r="A4" s="268"/>
      <c r="B4" s="271"/>
      <c r="C4" s="150" t="s">
        <v>237</v>
      </c>
      <c r="D4" s="151" t="s">
        <v>260</v>
      </c>
    </row>
    <row r="5" spans="1:4" ht="15" thickBot="1">
      <c r="A5" s="269"/>
      <c r="B5" s="272"/>
      <c r="C5" s="152"/>
      <c r="D5" s="153"/>
    </row>
    <row r="6" spans="1:4" ht="21" customHeight="1" thickBot="1">
      <c r="A6" s="273"/>
      <c r="B6" s="274"/>
      <c r="C6" s="154" t="s">
        <v>153</v>
      </c>
      <c r="D6" s="155" t="s">
        <v>13</v>
      </c>
    </row>
    <row r="7" spans="1:4" ht="15" customHeight="1">
      <c r="A7" s="275"/>
      <c r="B7" s="276"/>
      <c r="C7" s="160"/>
      <c r="D7" s="161"/>
    </row>
    <row r="8" spans="1:4" ht="20.25" customHeight="1">
      <c r="A8" s="277"/>
      <c r="B8" s="278"/>
      <c r="C8" s="156" t="s">
        <v>238</v>
      </c>
      <c r="D8" s="157">
        <f>'PLANILHA ORÇAMENTÁRIA'!M55</f>
        <v>472588.36745760828</v>
      </c>
    </row>
    <row r="9" spans="1:4" ht="21" customHeight="1">
      <c r="A9" s="277"/>
      <c r="B9" s="278"/>
      <c r="C9" s="156" t="s">
        <v>266</v>
      </c>
      <c r="D9" s="157">
        <f>TAD!L17</f>
        <v>61587.823380000002</v>
      </c>
    </row>
    <row r="10" spans="1:4" ht="22.5" customHeight="1" thickBot="1">
      <c r="A10" s="265"/>
      <c r="B10" s="266"/>
      <c r="C10" s="158" t="s">
        <v>239</v>
      </c>
      <c r="D10" s="159">
        <f>SUM(D8:D9)</f>
        <v>534176.1908376083</v>
      </c>
    </row>
  </sheetData>
  <mergeCells count="7">
    <mergeCell ref="A10:B10"/>
    <mergeCell ref="A1:A5"/>
    <mergeCell ref="B1:B5"/>
    <mergeCell ref="A6:B6"/>
    <mergeCell ref="A7:B7"/>
    <mergeCell ref="A8:B8"/>
    <mergeCell ref="A9:B9"/>
  </mergeCells>
  <pageMargins left="0.511811024" right="0.511811024" top="0.78740157499999996" bottom="0.78740157499999996" header="0.31496062000000002" footer="0.31496062000000002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L57"/>
  <sheetViews>
    <sheetView showGridLines="0" topLeftCell="A7" zoomScale="85" zoomScaleNormal="85" workbookViewId="0">
      <selection activeCell="I20" sqref="I20"/>
    </sheetView>
  </sheetViews>
  <sheetFormatPr defaultColWidth="8.375" defaultRowHeight="15.75"/>
  <cols>
    <col min="1" max="1" width="6.375" style="1" customWidth="1"/>
    <col min="2" max="2" width="8" style="1" customWidth="1"/>
    <col min="3" max="3" width="17.625" style="2" customWidth="1"/>
    <col min="4" max="4" width="48.125" style="3" customWidth="1"/>
    <col min="5" max="5" width="10" style="1" customWidth="1"/>
    <col min="6" max="6" width="8.75" style="4" customWidth="1"/>
    <col min="7" max="7" width="51.25" style="3" customWidth="1"/>
    <col min="8" max="8" width="11.375" style="5" customWidth="1"/>
    <col min="9" max="9" width="12.875" style="5" customWidth="1"/>
    <col min="10" max="10" width="11.375" style="6" customWidth="1"/>
    <col min="11" max="11" width="11.375" style="5" customWidth="1"/>
    <col min="12" max="12" width="12.875" style="5" customWidth="1"/>
    <col min="13" max="13" width="21.5" style="5" customWidth="1"/>
    <col min="14" max="64" width="8.375" style="1"/>
  </cols>
  <sheetData>
    <row r="1" spans="1:64" ht="16.5" customHeight="1">
      <c r="A1" s="290"/>
      <c r="B1" s="290"/>
      <c r="C1" s="290"/>
      <c r="D1" s="291" t="s">
        <v>0</v>
      </c>
      <c r="E1" s="291"/>
      <c r="F1" s="291"/>
      <c r="G1" s="291"/>
      <c r="H1" s="291"/>
      <c r="I1" s="291"/>
      <c r="J1" s="291"/>
      <c r="K1" s="291"/>
      <c r="L1" s="291"/>
      <c r="M1" s="291"/>
    </row>
    <row r="2" spans="1:64">
      <c r="A2" s="290"/>
      <c r="B2" s="290"/>
      <c r="C2" s="290"/>
      <c r="D2" s="291"/>
      <c r="E2" s="291"/>
      <c r="F2" s="291"/>
      <c r="G2" s="291"/>
      <c r="H2" s="291"/>
      <c r="I2" s="291"/>
      <c r="J2" s="291"/>
      <c r="K2" s="291"/>
      <c r="L2" s="291"/>
      <c r="M2" s="291"/>
    </row>
    <row r="3" spans="1:64">
      <c r="A3" s="290"/>
      <c r="B3" s="290"/>
      <c r="C3" s="290"/>
      <c r="D3" s="291"/>
      <c r="E3" s="291"/>
      <c r="F3" s="291"/>
      <c r="G3" s="291"/>
      <c r="H3" s="291"/>
      <c r="I3" s="291"/>
      <c r="J3" s="291"/>
      <c r="K3" s="291"/>
      <c r="L3" s="291"/>
      <c r="M3" s="291"/>
    </row>
    <row r="4" spans="1:64">
      <c r="A4" s="290"/>
      <c r="B4" s="290"/>
      <c r="C4" s="290"/>
      <c r="D4" s="291"/>
      <c r="E4" s="291"/>
      <c r="F4" s="291"/>
      <c r="G4" s="291"/>
      <c r="H4" s="291"/>
      <c r="I4" s="291"/>
      <c r="J4" s="291"/>
      <c r="K4" s="291"/>
      <c r="L4" s="291"/>
      <c r="M4" s="291"/>
    </row>
    <row r="5" spans="1:64" ht="15.75" customHeight="1">
      <c r="A5" s="292" t="s">
        <v>1</v>
      </c>
      <c r="B5" s="292"/>
      <c r="C5" s="292"/>
      <c r="D5" s="292"/>
      <c r="E5" s="292"/>
      <c r="F5" s="292"/>
      <c r="G5" s="292"/>
      <c r="H5" s="292"/>
      <c r="I5" s="292"/>
      <c r="J5" s="292"/>
      <c r="K5" s="292"/>
      <c r="L5" s="292"/>
      <c r="M5" s="292"/>
    </row>
    <row r="6" spans="1:64" ht="15.75" customHeight="1">
      <c r="A6" s="292"/>
      <c r="B6" s="292"/>
      <c r="C6" s="292"/>
      <c r="D6" s="292"/>
      <c r="E6" s="292"/>
      <c r="F6" s="292"/>
      <c r="G6" s="292"/>
      <c r="H6" s="292"/>
      <c r="I6" s="292"/>
      <c r="J6" s="292"/>
      <c r="K6" s="292"/>
      <c r="L6" s="292"/>
      <c r="M6" s="292"/>
    </row>
    <row r="7" spans="1:64" ht="15.75" customHeight="1">
      <c r="A7" s="292"/>
      <c r="B7" s="292"/>
      <c r="C7" s="292"/>
      <c r="D7" s="292"/>
      <c r="E7" s="292"/>
      <c r="F7" s="292"/>
      <c r="G7" s="292"/>
      <c r="H7" s="292"/>
      <c r="I7" s="292"/>
      <c r="J7" s="292"/>
      <c r="K7" s="292"/>
      <c r="L7" s="292"/>
      <c r="M7" s="292"/>
    </row>
    <row r="8" spans="1:64" ht="15.75" customHeight="1">
      <c r="A8" s="292"/>
      <c r="B8" s="292"/>
      <c r="C8" s="292"/>
      <c r="D8" s="292"/>
      <c r="E8" s="292"/>
      <c r="F8" s="292"/>
      <c r="G8" s="292"/>
      <c r="H8" s="292"/>
      <c r="I8" s="292"/>
      <c r="J8" s="292"/>
      <c r="K8" s="292"/>
      <c r="L8" s="292"/>
      <c r="M8" s="292"/>
    </row>
    <row r="9" spans="1:64" ht="15.75" customHeight="1">
      <c r="A9" s="292"/>
      <c r="B9" s="292"/>
      <c r="C9" s="292"/>
      <c r="D9" s="292"/>
      <c r="E9" s="292"/>
      <c r="F9" s="292"/>
      <c r="G9" s="292"/>
      <c r="H9" s="292"/>
      <c r="I9" s="292"/>
      <c r="J9" s="292"/>
      <c r="K9" s="292"/>
      <c r="L9" s="292"/>
      <c r="M9" s="292"/>
    </row>
    <row r="10" spans="1:64" ht="15.75" customHeight="1">
      <c r="A10" s="292"/>
      <c r="B10" s="292"/>
      <c r="C10" s="292"/>
      <c r="D10" s="292"/>
      <c r="E10" s="292"/>
      <c r="F10" s="292"/>
      <c r="G10" s="292"/>
      <c r="H10" s="292"/>
      <c r="I10" s="292"/>
      <c r="J10" s="292"/>
      <c r="K10" s="292"/>
      <c r="L10" s="292"/>
      <c r="M10" s="292"/>
    </row>
    <row r="11" spans="1:64" ht="27.6" customHeight="1">
      <c r="A11" s="293" t="s">
        <v>261</v>
      </c>
      <c r="B11" s="293"/>
      <c r="C11" s="293"/>
      <c r="D11" s="293"/>
      <c r="E11" s="293"/>
      <c r="F11" s="293"/>
      <c r="G11" s="293"/>
      <c r="H11" s="293"/>
      <c r="I11" s="293"/>
      <c r="J11" s="293"/>
      <c r="K11" s="293"/>
      <c r="L11" s="293"/>
      <c r="M11" s="293"/>
    </row>
    <row r="12" spans="1:64" ht="47.25">
      <c r="A12" s="7" t="s">
        <v>2</v>
      </c>
      <c r="B12" s="8" t="s">
        <v>3</v>
      </c>
      <c r="C12" s="9" t="s">
        <v>4</v>
      </c>
      <c r="D12" s="10" t="s">
        <v>5</v>
      </c>
      <c r="E12" s="8" t="s">
        <v>6</v>
      </c>
      <c r="F12" s="11" t="s">
        <v>7</v>
      </c>
      <c r="G12" s="10" t="s">
        <v>8</v>
      </c>
      <c r="H12" s="12" t="s">
        <v>9</v>
      </c>
      <c r="I12" s="12" t="s">
        <v>10</v>
      </c>
      <c r="J12" s="13" t="s">
        <v>11</v>
      </c>
      <c r="K12" s="12" t="s">
        <v>12</v>
      </c>
      <c r="L12" s="12" t="s">
        <v>13</v>
      </c>
      <c r="M12" s="14" t="s">
        <v>14</v>
      </c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"/>
      <c r="AB12" s="15"/>
      <c r="AC12" s="15"/>
      <c r="AD12" s="15"/>
      <c r="AE12" s="15"/>
      <c r="AF12" s="15"/>
      <c r="AG12" s="15"/>
      <c r="AH12" s="15"/>
      <c r="AI12" s="15"/>
      <c r="AJ12" s="15"/>
      <c r="AK12" s="15"/>
      <c r="AL12" s="15"/>
      <c r="AM12" s="15"/>
      <c r="AN12" s="15"/>
      <c r="AO12" s="15"/>
      <c r="AP12" s="15"/>
      <c r="AQ12" s="15"/>
      <c r="AR12" s="15"/>
      <c r="AS12" s="15"/>
      <c r="AT12" s="15"/>
      <c r="AU12" s="15"/>
      <c r="AV12" s="15"/>
      <c r="AW12" s="15"/>
      <c r="AX12" s="15"/>
      <c r="AY12" s="15"/>
      <c r="AZ12" s="15"/>
      <c r="BA12" s="15"/>
      <c r="BB12" s="15"/>
      <c r="BC12" s="15"/>
      <c r="BD12" s="15"/>
      <c r="BE12" s="15"/>
      <c r="BF12" s="15"/>
      <c r="BG12" s="15"/>
      <c r="BH12" s="15"/>
      <c r="BI12" s="15"/>
      <c r="BJ12" s="15"/>
      <c r="BK12" s="15"/>
      <c r="BL12" s="15"/>
    </row>
    <row r="13" spans="1:64" ht="24.75" customHeight="1">
      <c r="A13" s="16">
        <v>1</v>
      </c>
      <c r="B13" s="288" t="s">
        <v>15</v>
      </c>
      <c r="C13" s="288"/>
      <c r="D13" s="288"/>
      <c r="E13" s="288"/>
      <c r="F13" s="288"/>
      <c r="G13" s="288"/>
      <c r="H13" s="288"/>
      <c r="I13" s="288"/>
      <c r="J13" s="288"/>
      <c r="K13" s="288"/>
      <c r="L13" s="288"/>
      <c r="M13" s="288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  <c r="AA13" s="15"/>
      <c r="AB13" s="15"/>
      <c r="AC13" s="15"/>
      <c r="AD13" s="15"/>
      <c r="AE13" s="15"/>
      <c r="AF13" s="15"/>
      <c r="AG13" s="15"/>
      <c r="AH13" s="15"/>
      <c r="AI13" s="15"/>
      <c r="AJ13" s="15"/>
      <c r="AK13" s="15"/>
      <c r="AL13" s="15"/>
      <c r="AM13" s="15"/>
      <c r="AN13" s="15"/>
      <c r="AO13" s="15"/>
      <c r="AP13" s="15"/>
      <c r="AQ13" s="15"/>
      <c r="AR13" s="15"/>
      <c r="AS13" s="15"/>
      <c r="AT13" s="15"/>
      <c r="AU13" s="15"/>
      <c r="AV13" s="15"/>
      <c r="AW13" s="15"/>
      <c r="AX13" s="15"/>
      <c r="AY13" s="15"/>
      <c r="AZ13" s="15"/>
      <c r="BA13" s="15"/>
      <c r="BB13" s="15"/>
      <c r="BC13" s="15"/>
      <c r="BD13" s="15"/>
      <c r="BE13" s="15"/>
      <c r="BF13" s="15"/>
      <c r="BG13" s="15"/>
      <c r="BH13" s="15"/>
      <c r="BI13" s="15"/>
      <c r="BJ13" s="15"/>
      <c r="BK13" s="15"/>
      <c r="BL13" s="15"/>
    </row>
    <row r="14" spans="1:64" ht="38.25">
      <c r="A14" s="17" t="s">
        <v>16</v>
      </c>
      <c r="B14" s="18" t="s">
        <v>17</v>
      </c>
      <c r="C14" s="19" t="s">
        <v>18</v>
      </c>
      <c r="D14" s="20" t="s">
        <v>19</v>
      </c>
      <c r="E14" s="18" t="s">
        <v>20</v>
      </c>
      <c r="F14" s="21">
        <f>((((5+6)*10.6)/2)+(((5+1)*12.04)/2)+(((1+6)*9.24)/2))+((((5+6)*9.74)/2)+(((5+1)*5.37)/2)+(((1+6)*6.87)/2))</f>
        <v>220.48500000000001</v>
      </c>
      <c r="G14" s="22" t="s">
        <v>21</v>
      </c>
      <c r="H14" s="141">
        <v>2.77</v>
      </c>
      <c r="I14" s="23">
        <f t="shared" ref="I14:I25" si="0">H14*F14</f>
        <v>610.74345000000005</v>
      </c>
      <c r="J14" s="24">
        <v>0.28349999999999997</v>
      </c>
      <c r="K14" s="23">
        <f t="shared" ref="K14:K25" si="1">H14+(H14*J14)</f>
        <v>3.5552950000000001</v>
      </c>
      <c r="L14" s="23">
        <f t="shared" ref="L14:L25" si="2">K14*F14</f>
        <v>783.88921807500003</v>
      </c>
      <c r="M14" s="25">
        <f t="shared" ref="M14:M25" si="3">L14/$M$55</f>
        <v>1.6587145855749734E-3</v>
      </c>
      <c r="N14" s="26"/>
      <c r="O14" s="26"/>
      <c r="P14" s="26"/>
      <c r="Q14" s="26"/>
      <c r="R14" s="2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  <c r="AF14" s="26"/>
      <c r="AG14" s="26"/>
      <c r="AH14" s="26"/>
      <c r="AI14" s="26"/>
      <c r="AJ14" s="26"/>
      <c r="AK14" s="26"/>
      <c r="AL14" s="26"/>
      <c r="AM14" s="26"/>
      <c r="AN14" s="26"/>
      <c r="AO14" s="26"/>
      <c r="AP14" s="26"/>
      <c r="AQ14" s="26"/>
      <c r="AR14" s="26"/>
      <c r="AS14" s="26"/>
      <c r="AT14" s="26"/>
      <c r="AU14" s="26"/>
      <c r="AV14" s="26"/>
      <c r="AW14" s="26"/>
      <c r="AX14" s="26"/>
      <c r="AY14" s="26"/>
      <c r="AZ14" s="26"/>
      <c r="BA14" s="26"/>
      <c r="BB14" s="26"/>
      <c r="BC14" s="26"/>
      <c r="BD14" s="26"/>
      <c r="BE14" s="26"/>
      <c r="BF14" s="26"/>
      <c r="BG14" s="26"/>
      <c r="BH14" s="26"/>
      <c r="BI14" s="26"/>
      <c r="BJ14" s="26"/>
      <c r="BK14" s="26"/>
      <c r="BL14" s="26"/>
    </row>
    <row r="15" spans="1:64" ht="25.5" customHeight="1">
      <c r="A15" s="17" t="s">
        <v>22</v>
      </c>
      <c r="B15" s="18" t="s">
        <v>23</v>
      </c>
      <c r="C15" s="19" t="s">
        <v>24</v>
      </c>
      <c r="D15" s="20" t="s">
        <v>25</v>
      </c>
      <c r="E15" s="18" t="s">
        <v>20</v>
      </c>
      <c r="F15" s="21">
        <f>1.8*1.1</f>
        <v>1.9800000000000002</v>
      </c>
      <c r="G15" s="22" t="s">
        <v>26</v>
      </c>
      <c r="H15" s="141">
        <f>'COMPOSIÇÃO PRÓPRIA '!J23</f>
        <v>482.73299999999995</v>
      </c>
      <c r="I15" s="23">
        <f t="shared" si="0"/>
        <v>955.81133999999997</v>
      </c>
      <c r="J15" s="24">
        <v>0.28349999999999997</v>
      </c>
      <c r="K15" s="23">
        <f t="shared" si="1"/>
        <v>619.58780549999994</v>
      </c>
      <c r="L15" s="23">
        <f t="shared" si="2"/>
        <v>1226.7838548899999</v>
      </c>
      <c r="M15" s="25">
        <f t="shared" si="3"/>
        <v>2.59588246213031E-3</v>
      </c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  <c r="AF15" s="26"/>
      <c r="AG15" s="26"/>
      <c r="AH15" s="26"/>
      <c r="AI15" s="26"/>
      <c r="AJ15" s="26"/>
      <c r="AK15" s="26"/>
      <c r="AL15" s="26"/>
      <c r="AM15" s="26"/>
      <c r="AN15" s="26"/>
      <c r="AO15" s="26"/>
      <c r="AP15" s="26"/>
      <c r="AQ15" s="26"/>
      <c r="AR15" s="26"/>
      <c r="AS15" s="26"/>
      <c r="AT15" s="26"/>
      <c r="AU15" s="26"/>
      <c r="AV15" s="26"/>
      <c r="AW15" s="26"/>
      <c r="AX15" s="26"/>
      <c r="AY15" s="26"/>
      <c r="AZ15" s="26"/>
      <c r="BA15" s="26"/>
      <c r="BB15" s="26"/>
      <c r="BC15" s="26"/>
      <c r="BD15" s="26"/>
      <c r="BE15" s="26"/>
      <c r="BF15" s="26"/>
      <c r="BG15" s="26"/>
      <c r="BH15" s="26"/>
      <c r="BI15" s="26"/>
      <c r="BJ15" s="26"/>
      <c r="BK15" s="26"/>
      <c r="BL15" s="26"/>
    </row>
    <row r="16" spans="1:64" ht="49.5" customHeight="1">
      <c r="A16" s="17" t="s">
        <v>27</v>
      </c>
      <c r="B16" s="18" t="s">
        <v>17</v>
      </c>
      <c r="C16" s="19" t="s">
        <v>28</v>
      </c>
      <c r="D16" s="20" t="s">
        <v>29</v>
      </c>
      <c r="E16" s="18" t="s">
        <v>20</v>
      </c>
      <c r="F16" s="21">
        <f>2.5*3</f>
        <v>7.5</v>
      </c>
      <c r="G16" s="22" t="s">
        <v>30</v>
      </c>
      <c r="H16" s="141">
        <v>926.59</v>
      </c>
      <c r="I16" s="23">
        <f t="shared" si="0"/>
        <v>6949.4250000000002</v>
      </c>
      <c r="J16" s="24">
        <v>0.28349999999999997</v>
      </c>
      <c r="K16" s="23">
        <f t="shared" si="1"/>
        <v>1189.2782649999999</v>
      </c>
      <c r="L16" s="23">
        <f t="shared" si="2"/>
        <v>8919.5869874999989</v>
      </c>
      <c r="M16" s="25">
        <f t="shared" si="3"/>
        <v>1.8873902960169869E-2</v>
      </c>
      <c r="N16" s="26"/>
      <c r="O16" s="26"/>
      <c r="P16" s="26"/>
      <c r="Q16" s="26"/>
      <c r="R16" s="2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  <c r="AF16" s="26"/>
      <c r="AG16" s="26"/>
      <c r="AH16" s="26"/>
      <c r="AI16" s="26"/>
      <c r="AJ16" s="26"/>
      <c r="AK16" s="26"/>
      <c r="AL16" s="26"/>
      <c r="AM16" s="26"/>
      <c r="AN16" s="26"/>
      <c r="AO16" s="26"/>
      <c r="AP16" s="26"/>
      <c r="AQ16" s="26"/>
      <c r="AR16" s="26"/>
      <c r="AS16" s="26"/>
      <c r="AT16" s="26"/>
      <c r="AU16" s="26"/>
      <c r="AV16" s="26"/>
      <c r="AW16" s="26"/>
      <c r="AX16" s="26"/>
      <c r="AY16" s="26"/>
      <c r="AZ16" s="26"/>
      <c r="BA16" s="26"/>
      <c r="BB16" s="26"/>
      <c r="BC16" s="26"/>
      <c r="BD16" s="26"/>
      <c r="BE16" s="26"/>
      <c r="BF16" s="26"/>
      <c r="BG16" s="26"/>
      <c r="BH16" s="26"/>
      <c r="BI16" s="26"/>
      <c r="BJ16" s="26"/>
      <c r="BK16" s="26"/>
      <c r="BL16" s="26"/>
    </row>
    <row r="17" spans="1:64" ht="38.25">
      <c r="A17" s="17" t="s">
        <v>31</v>
      </c>
      <c r="B17" s="27" t="s">
        <v>23</v>
      </c>
      <c r="C17" s="28" t="s">
        <v>32</v>
      </c>
      <c r="D17" s="29" t="s">
        <v>33</v>
      </c>
      <c r="E17" s="27" t="s">
        <v>34</v>
      </c>
      <c r="F17" s="30">
        <f>( (94.35+193.08)*0.5)</f>
        <v>143.715</v>
      </c>
      <c r="G17" s="31" t="s">
        <v>35</v>
      </c>
      <c r="H17" s="142">
        <f>'COMPOSIÇÃO PRÓPRIA '!J34</f>
        <v>1.9696900000000002</v>
      </c>
      <c r="I17" s="32">
        <f t="shared" si="0"/>
        <v>283.07399835000001</v>
      </c>
      <c r="J17" s="24">
        <v>0.28349999999999997</v>
      </c>
      <c r="K17" s="32">
        <f t="shared" si="1"/>
        <v>2.528097115</v>
      </c>
      <c r="L17" s="32">
        <f t="shared" si="2"/>
        <v>363.32547688222502</v>
      </c>
      <c r="M17" s="25">
        <f t="shared" si="3"/>
        <v>7.687990265964719E-4</v>
      </c>
      <c r="N17" s="26"/>
      <c r="O17" s="26"/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  <c r="AF17" s="26"/>
      <c r="AG17" s="26"/>
      <c r="AH17" s="26"/>
      <c r="AI17" s="26"/>
      <c r="AJ17" s="26"/>
      <c r="AK17" s="26"/>
      <c r="AL17" s="26"/>
      <c r="AM17" s="26"/>
      <c r="AN17" s="26"/>
      <c r="AO17" s="26"/>
      <c r="AP17" s="26"/>
      <c r="AQ17" s="26"/>
      <c r="AR17" s="26"/>
      <c r="AS17" s="26"/>
      <c r="AT17" s="26"/>
      <c r="AU17" s="26"/>
      <c r="AV17" s="26"/>
      <c r="AW17" s="26"/>
      <c r="AX17" s="26"/>
      <c r="AY17" s="26"/>
      <c r="AZ17" s="26"/>
      <c r="BA17" s="26"/>
      <c r="BB17" s="26"/>
      <c r="BC17" s="26"/>
      <c r="BD17" s="26"/>
      <c r="BE17" s="26"/>
      <c r="BF17" s="26"/>
      <c r="BG17" s="26"/>
      <c r="BH17" s="26"/>
      <c r="BI17" s="26"/>
      <c r="BJ17" s="26"/>
      <c r="BK17" s="26"/>
      <c r="BL17" s="26"/>
    </row>
    <row r="18" spans="1:64" ht="47.25" customHeight="1">
      <c r="A18" s="17" t="s">
        <v>36</v>
      </c>
      <c r="B18" s="27" t="s">
        <v>17</v>
      </c>
      <c r="C18" s="28" t="s">
        <v>37</v>
      </c>
      <c r="D18" s="29" t="s">
        <v>38</v>
      </c>
      <c r="E18" s="27" t="s">
        <v>39</v>
      </c>
      <c r="F18" s="30">
        <f>F14*1</f>
        <v>220.48500000000001</v>
      </c>
      <c r="G18" s="31" t="s">
        <v>40</v>
      </c>
      <c r="H18" s="142">
        <v>4.3899999999999997</v>
      </c>
      <c r="I18" s="32">
        <f t="shared" si="0"/>
        <v>967.92914999999994</v>
      </c>
      <c r="J18" s="24">
        <v>0.28349999999999997</v>
      </c>
      <c r="K18" s="32">
        <f t="shared" si="1"/>
        <v>5.6345649999999994</v>
      </c>
      <c r="L18" s="32">
        <f t="shared" si="2"/>
        <v>1242.337064025</v>
      </c>
      <c r="M18" s="25">
        <f t="shared" si="3"/>
        <v>2.6287931518679183E-3</v>
      </c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6"/>
      <c r="AI18" s="26"/>
      <c r="AJ18" s="26"/>
      <c r="AK18" s="26"/>
      <c r="AL18" s="26"/>
      <c r="AM18" s="26"/>
      <c r="AN18" s="26"/>
      <c r="AO18" s="26"/>
      <c r="AP18" s="26"/>
      <c r="AQ18" s="26"/>
      <c r="AR18" s="26"/>
      <c r="AS18" s="26"/>
      <c r="AT18" s="26"/>
      <c r="AU18" s="26"/>
      <c r="AV18" s="26"/>
      <c r="AW18" s="26"/>
      <c r="AX18" s="26"/>
      <c r="AY18" s="26"/>
      <c r="AZ18" s="26"/>
      <c r="BA18" s="26"/>
      <c r="BB18" s="26"/>
      <c r="BC18" s="26"/>
      <c r="BD18" s="26"/>
      <c r="BE18" s="26"/>
      <c r="BF18" s="26"/>
      <c r="BG18" s="26"/>
      <c r="BH18" s="26"/>
      <c r="BI18" s="26"/>
      <c r="BJ18" s="26"/>
      <c r="BK18" s="26"/>
      <c r="BL18" s="26"/>
    </row>
    <row r="19" spans="1:64" ht="66" customHeight="1">
      <c r="A19" s="17" t="s">
        <v>41</v>
      </c>
      <c r="B19" s="27" t="s">
        <v>17</v>
      </c>
      <c r="C19" s="28" t="s">
        <v>42</v>
      </c>
      <c r="D19" s="29" t="s">
        <v>43</v>
      </c>
      <c r="E19" s="27" t="s">
        <v>39</v>
      </c>
      <c r="F19" s="30">
        <f>F18*1.1</f>
        <v>242.53350000000003</v>
      </c>
      <c r="G19" s="31" t="s">
        <v>44</v>
      </c>
      <c r="H19" s="142">
        <v>8.98</v>
      </c>
      <c r="I19" s="32">
        <f t="shared" si="0"/>
        <v>2177.9508300000002</v>
      </c>
      <c r="J19" s="24">
        <v>0.28349999999999997</v>
      </c>
      <c r="K19" s="32">
        <f t="shared" si="1"/>
        <v>11.525830000000001</v>
      </c>
      <c r="L19" s="32">
        <f t="shared" si="2"/>
        <v>2795.3998903050006</v>
      </c>
      <c r="M19" s="25">
        <f t="shared" si="3"/>
        <v>5.9150839986677221E-3</v>
      </c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6"/>
      <c r="AI19" s="26"/>
      <c r="AJ19" s="26"/>
      <c r="AK19" s="26"/>
      <c r="AL19" s="26"/>
      <c r="AM19" s="26"/>
      <c r="AN19" s="26"/>
      <c r="AO19" s="26"/>
      <c r="AP19" s="26"/>
      <c r="AQ19" s="26"/>
      <c r="AR19" s="26"/>
      <c r="AS19" s="26"/>
      <c r="AT19" s="26"/>
      <c r="AU19" s="26"/>
      <c r="AV19" s="26"/>
      <c r="AW19" s="26"/>
      <c r="AX19" s="26"/>
      <c r="AY19" s="26"/>
      <c r="AZ19" s="26"/>
      <c r="BA19" s="26"/>
      <c r="BB19" s="26"/>
      <c r="BC19" s="26"/>
      <c r="BD19" s="26"/>
      <c r="BE19" s="26"/>
      <c r="BF19" s="26"/>
      <c r="BG19" s="26"/>
      <c r="BH19" s="26"/>
      <c r="BI19" s="26"/>
      <c r="BJ19" s="26"/>
      <c r="BK19" s="26"/>
      <c r="BL19" s="26"/>
    </row>
    <row r="20" spans="1:64" ht="72" customHeight="1">
      <c r="A20" s="17" t="s">
        <v>45</v>
      </c>
      <c r="B20" s="27" t="s">
        <v>17</v>
      </c>
      <c r="C20" s="28" t="s">
        <v>46</v>
      </c>
      <c r="D20" s="29" t="s">
        <v>47</v>
      </c>
      <c r="E20" s="27" t="s">
        <v>20</v>
      </c>
      <c r="F20" s="30">
        <f>(2.86*1.5)+(8*1.5)+(2.91*1.68)+(8*1.5)+(2.99*1.68)+(16*1.5)+(2.93*1.68)+(16*1.5)+(3.14*1.64)+(16*1.5)+(2.96*1.68)+(16*1.5)+(1.5*1.7)</f>
        <v>151.79680000000002</v>
      </c>
      <c r="G20" s="31" t="s">
        <v>48</v>
      </c>
      <c r="H20" s="142">
        <v>12.34</v>
      </c>
      <c r="I20" s="32">
        <f t="shared" si="0"/>
        <v>1873.1725120000001</v>
      </c>
      <c r="J20" s="24">
        <v>0.28349999999999997</v>
      </c>
      <c r="K20" s="32">
        <f t="shared" si="1"/>
        <v>15.83839</v>
      </c>
      <c r="L20" s="32">
        <f t="shared" si="2"/>
        <v>2404.2169191520002</v>
      </c>
      <c r="M20" s="25">
        <f t="shared" si="3"/>
        <v>5.0873383365020322E-3</v>
      </c>
      <c r="N20" s="26"/>
      <c r="O20" s="26"/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  <c r="AF20" s="26"/>
      <c r="AG20" s="26"/>
      <c r="AH20" s="26"/>
      <c r="AI20" s="26"/>
      <c r="AJ20" s="26"/>
      <c r="AK20" s="26"/>
      <c r="AL20" s="26"/>
      <c r="AM20" s="26"/>
      <c r="AN20" s="26"/>
      <c r="AO20" s="26"/>
      <c r="AP20" s="26"/>
      <c r="AQ20" s="26"/>
      <c r="AR20" s="26"/>
      <c r="AS20" s="26"/>
      <c r="AT20" s="26"/>
      <c r="AU20" s="26"/>
      <c r="AV20" s="26"/>
      <c r="AW20" s="26"/>
      <c r="AX20" s="26"/>
      <c r="AY20" s="26"/>
      <c r="AZ20" s="26"/>
      <c r="BA20" s="26"/>
      <c r="BB20" s="26"/>
      <c r="BC20" s="26"/>
      <c r="BD20" s="26"/>
      <c r="BE20" s="26"/>
      <c r="BF20" s="26"/>
      <c r="BG20" s="26"/>
      <c r="BH20" s="26"/>
      <c r="BI20" s="26"/>
      <c r="BJ20" s="26"/>
      <c r="BK20" s="26"/>
      <c r="BL20" s="26"/>
    </row>
    <row r="21" spans="1:64" ht="47.25" customHeight="1">
      <c r="A21" s="17" t="s">
        <v>49</v>
      </c>
      <c r="B21" s="27" t="s">
        <v>17</v>
      </c>
      <c r="C21" s="28" t="s">
        <v>50</v>
      </c>
      <c r="D21" s="29" t="s">
        <v>51</v>
      </c>
      <c r="E21" s="27" t="s">
        <v>52</v>
      </c>
      <c r="F21" s="30">
        <f>(220.49*3)</f>
        <v>661.47</v>
      </c>
      <c r="G21" s="31" t="s">
        <v>53</v>
      </c>
      <c r="H21" s="142">
        <v>2.83</v>
      </c>
      <c r="I21" s="32">
        <f t="shared" si="0"/>
        <v>1871.9601</v>
      </c>
      <c r="J21" s="24">
        <v>0.28349999999999997</v>
      </c>
      <c r="K21" s="32">
        <f t="shared" si="1"/>
        <v>3.6323050000000001</v>
      </c>
      <c r="L21" s="32">
        <f t="shared" si="2"/>
        <v>2402.6607883500001</v>
      </c>
      <c r="M21" s="25">
        <f t="shared" si="3"/>
        <v>5.0840455537990393E-3</v>
      </c>
      <c r="N21" s="26"/>
      <c r="O21" s="26"/>
      <c r="P21" s="26"/>
      <c r="Q21" s="26"/>
      <c r="R21" s="2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  <c r="AF21" s="26"/>
      <c r="AG21" s="26"/>
      <c r="AH21" s="26"/>
      <c r="AI21" s="26"/>
      <c r="AJ21" s="26"/>
      <c r="AK21" s="26"/>
      <c r="AL21" s="26"/>
      <c r="AM21" s="26"/>
      <c r="AN21" s="26"/>
      <c r="AO21" s="26"/>
      <c r="AP21" s="26"/>
      <c r="AQ21" s="26"/>
      <c r="AR21" s="26"/>
      <c r="AS21" s="26"/>
      <c r="AT21" s="26"/>
      <c r="AU21" s="26"/>
      <c r="AV21" s="26"/>
      <c r="AW21" s="26"/>
      <c r="AX21" s="26"/>
      <c r="AY21" s="26"/>
      <c r="AZ21" s="26"/>
      <c r="BA21" s="26"/>
      <c r="BB21" s="26"/>
      <c r="BC21" s="26"/>
      <c r="BD21" s="26"/>
      <c r="BE21" s="26"/>
      <c r="BF21" s="26"/>
      <c r="BG21" s="26"/>
      <c r="BH21" s="26"/>
      <c r="BI21" s="26"/>
      <c r="BJ21" s="26"/>
      <c r="BK21" s="26"/>
      <c r="BL21" s="26"/>
    </row>
    <row r="22" spans="1:64" ht="47.25" customHeight="1">
      <c r="A22" s="17" t="s">
        <v>54</v>
      </c>
      <c r="B22" s="27" t="s">
        <v>17</v>
      </c>
      <c r="C22" s="28" t="s">
        <v>55</v>
      </c>
      <c r="D22" s="29" t="s">
        <v>56</v>
      </c>
      <c r="E22" s="27" t="s">
        <v>20</v>
      </c>
      <c r="F22" s="30">
        <f>F14</f>
        <v>220.48500000000001</v>
      </c>
      <c r="G22" s="31" t="s">
        <v>57</v>
      </c>
      <c r="H22" s="142">
        <v>27.56</v>
      </c>
      <c r="I22" s="32">
        <f t="shared" si="0"/>
        <v>6076.5666000000001</v>
      </c>
      <c r="J22" s="24">
        <v>0.28349999999999997</v>
      </c>
      <c r="K22" s="32">
        <f t="shared" si="1"/>
        <v>35.373259999999995</v>
      </c>
      <c r="L22" s="32">
        <f t="shared" si="2"/>
        <v>7799.2732310999991</v>
      </c>
      <c r="M22" s="25">
        <f t="shared" si="3"/>
        <v>1.650331190557627E-2</v>
      </c>
      <c r="N22" s="26"/>
      <c r="O22" s="26"/>
      <c r="P22" s="26"/>
      <c r="Q22" s="26"/>
      <c r="R22" s="2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  <c r="AF22" s="26"/>
      <c r="AG22" s="26"/>
      <c r="AH22" s="26"/>
      <c r="AI22" s="26"/>
      <c r="AJ22" s="26"/>
      <c r="AK22" s="26"/>
      <c r="AL22" s="26"/>
      <c r="AM22" s="26"/>
      <c r="AN22" s="26"/>
      <c r="AO22" s="26"/>
      <c r="AP22" s="26"/>
      <c r="AQ22" s="26"/>
      <c r="AR22" s="26"/>
      <c r="AS22" s="26"/>
      <c r="AT22" s="26"/>
      <c r="AU22" s="26"/>
      <c r="AV22" s="26"/>
      <c r="AW22" s="26"/>
      <c r="AX22" s="26"/>
      <c r="AY22" s="26"/>
      <c r="AZ22" s="26"/>
      <c r="BA22" s="26"/>
      <c r="BB22" s="26"/>
      <c r="BC22" s="26"/>
      <c r="BD22" s="26"/>
      <c r="BE22" s="26"/>
      <c r="BF22" s="26"/>
      <c r="BG22" s="26"/>
      <c r="BH22" s="26"/>
      <c r="BI22" s="26"/>
      <c r="BJ22" s="26"/>
      <c r="BK22" s="26"/>
      <c r="BL22" s="26"/>
    </row>
    <row r="23" spans="1:64" ht="38.25">
      <c r="A23" s="42" t="s">
        <v>58</v>
      </c>
      <c r="B23" s="42" t="s">
        <v>17</v>
      </c>
      <c r="C23" s="255" t="s">
        <v>59</v>
      </c>
      <c r="D23" s="243" t="s">
        <v>60</v>
      </c>
      <c r="E23" s="42" t="s">
        <v>52</v>
      </c>
      <c r="F23" s="40">
        <f>((32.96+24.37)*30)</f>
        <v>1719.8999999999999</v>
      </c>
      <c r="G23" s="196" t="s">
        <v>61</v>
      </c>
      <c r="H23" s="142">
        <v>3.1</v>
      </c>
      <c r="I23" s="32">
        <f t="shared" si="0"/>
        <v>5331.69</v>
      </c>
      <c r="J23" s="24">
        <v>0.28349999999999997</v>
      </c>
      <c r="K23" s="32">
        <f t="shared" si="1"/>
        <v>3.97885</v>
      </c>
      <c r="L23" s="32">
        <f t="shared" si="2"/>
        <v>6843.2241149999991</v>
      </c>
      <c r="M23" s="25">
        <f t="shared" si="3"/>
        <v>1.4480305877638523E-2</v>
      </c>
      <c r="N23" s="26"/>
      <c r="O23" s="26"/>
      <c r="P23" s="26"/>
      <c r="Q23" s="26"/>
      <c r="R23" s="2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  <c r="AF23" s="26"/>
      <c r="AG23" s="26"/>
      <c r="AH23" s="26"/>
      <c r="AI23" s="26"/>
      <c r="AJ23" s="26"/>
      <c r="AK23" s="26"/>
      <c r="AL23" s="26"/>
      <c r="AM23" s="26"/>
      <c r="AN23" s="26"/>
      <c r="AO23" s="26"/>
      <c r="AP23" s="26"/>
      <c r="AQ23" s="26"/>
      <c r="AR23" s="26"/>
      <c r="AS23" s="26"/>
      <c r="AT23" s="26"/>
      <c r="AU23" s="26"/>
      <c r="AV23" s="26"/>
      <c r="AW23" s="26"/>
      <c r="AX23" s="26"/>
      <c r="AY23" s="26"/>
      <c r="AZ23" s="26"/>
      <c r="BA23" s="26"/>
      <c r="BB23" s="26"/>
      <c r="BC23" s="26"/>
      <c r="BD23" s="26"/>
      <c r="BE23" s="26"/>
      <c r="BF23" s="26"/>
      <c r="BG23" s="26"/>
      <c r="BH23" s="26"/>
      <c r="BI23" s="26"/>
      <c r="BJ23" s="26"/>
      <c r="BK23" s="26"/>
      <c r="BL23" s="26"/>
    </row>
    <row r="24" spans="1:64" s="36" customFormat="1" ht="36.75" customHeight="1">
      <c r="A24" s="245" t="s">
        <v>62</v>
      </c>
      <c r="B24" s="245" t="s">
        <v>23</v>
      </c>
      <c r="C24" s="256" t="s">
        <v>63</v>
      </c>
      <c r="D24" s="244" t="s">
        <v>64</v>
      </c>
      <c r="E24" s="245" t="s">
        <v>65</v>
      </c>
      <c r="F24" s="246">
        <f>18+14</f>
        <v>32</v>
      </c>
      <c r="G24" s="257" t="s">
        <v>66</v>
      </c>
      <c r="H24" s="143">
        <f>'COMPOSIÇÃO PRÓPRIA '!J45</f>
        <v>408.78999999999996</v>
      </c>
      <c r="I24" s="33">
        <f t="shared" si="0"/>
        <v>13081.279999999999</v>
      </c>
      <c r="J24" s="24">
        <v>0.28349999999999997</v>
      </c>
      <c r="K24" s="33">
        <f t="shared" si="1"/>
        <v>524.68196499999999</v>
      </c>
      <c r="L24" s="33">
        <f t="shared" si="2"/>
        <v>16789.82288</v>
      </c>
      <c r="M24" s="34">
        <f t="shared" si="3"/>
        <v>3.5527372309912104E-2</v>
      </c>
      <c r="N24" s="35"/>
      <c r="O24" s="35"/>
      <c r="P24" s="35"/>
      <c r="Q24" s="35"/>
      <c r="R24" s="35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  <c r="AF24" s="35"/>
      <c r="AG24" s="35"/>
      <c r="AH24" s="35"/>
      <c r="AI24" s="35"/>
      <c r="AJ24" s="35"/>
      <c r="AK24" s="35"/>
      <c r="AL24" s="35"/>
      <c r="AM24" s="35"/>
      <c r="AN24" s="35"/>
      <c r="AO24" s="35"/>
      <c r="AP24" s="35"/>
      <c r="AQ24" s="35"/>
      <c r="AR24" s="35"/>
      <c r="AS24" s="35"/>
      <c r="AT24" s="35"/>
      <c r="AU24" s="35"/>
      <c r="AV24" s="35"/>
      <c r="AW24" s="35"/>
      <c r="AX24" s="35"/>
      <c r="AY24" s="35"/>
      <c r="AZ24" s="35"/>
      <c r="BA24" s="35"/>
      <c r="BB24" s="35"/>
      <c r="BC24" s="35"/>
      <c r="BD24" s="35"/>
      <c r="BE24" s="35"/>
      <c r="BF24" s="35"/>
      <c r="BG24" s="35"/>
      <c r="BH24" s="35"/>
      <c r="BI24" s="35"/>
      <c r="BJ24" s="35"/>
      <c r="BK24" s="35"/>
      <c r="BL24" s="35"/>
    </row>
    <row r="25" spans="1:64" ht="45.75" customHeight="1" thickBot="1">
      <c r="A25" s="17" t="s">
        <v>67</v>
      </c>
      <c r="B25" s="27" t="s">
        <v>17</v>
      </c>
      <c r="C25" s="28" t="s">
        <v>68</v>
      </c>
      <c r="D25" s="29" t="s">
        <v>69</v>
      </c>
      <c r="E25" s="27" t="s">
        <v>20</v>
      </c>
      <c r="F25" s="30">
        <f>F14</f>
        <v>220.48500000000001</v>
      </c>
      <c r="G25" s="31" t="s">
        <v>57</v>
      </c>
      <c r="H25" s="142">
        <v>1.72</v>
      </c>
      <c r="I25" s="32">
        <f t="shared" si="0"/>
        <v>379.23420000000004</v>
      </c>
      <c r="J25" s="24">
        <v>0.28349999999999997</v>
      </c>
      <c r="K25" s="32">
        <f t="shared" si="1"/>
        <v>2.2076199999999999</v>
      </c>
      <c r="L25" s="32">
        <f t="shared" si="2"/>
        <v>486.74709569999999</v>
      </c>
      <c r="M25" s="25">
        <f t="shared" si="3"/>
        <v>1.0299599592739907E-3</v>
      </c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6"/>
      <c r="AK25" s="26"/>
      <c r="AL25" s="26"/>
      <c r="AM25" s="26"/>
      <c r="AN25" s="26"/>
      <c r="AO25" s="26"/>
      <c r="AP25" s="26"/>
      <c r="AQ25" s="26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</row>
    <row r="26" spans="1:64" ht="27.75" customHeight="1" thickBot="1">
      <c r="A26" s="284" t="s">
        <v>70</v>
      </c>
      <c r="B26" s="285"/>
      <c r="C26" s="285"/>
      <c r="D26" s="285"/>
      <c r="E26" s="285"/>
      <c r="F26" s="285"/>
      <c r="G26" s="285"/>
      <c r="H26" s="285"/>
      <c r="I26" s="259">
        <f>SUM(I14:I25)</f>
        <v>40558.837180349998</v>
      </c>
      <c r="J26" s="260"/>
      <c r="K26" s="259"/>
      <c r="L26" s="259">
        <f>SUM(L14:L25)</f>
        <v>52057.267520979221</v>
      </c>
      <c r="M26" s="261">
        <f>L26/M55</f>
        <v>0.11015351012770923</v>
      </c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39"/>
      <c r="AL26" s="39"/>
      <c r="AM26" s="39"/>
      <c r="AN26" s="39"/>
      <c r="AO26" s="39"/>
      <c r="AP26" s="39"/>
      <c r="AQ26" s="39"/>
      <c r="AR26" s="39"/>
      <c r="AS26" s="39"/>
      <c r="AT26" s="39"/>
      <c r="AU26" s="39"/>
      <c r="AV26" s="39"/>
      <c r="AW26" s="39"/>
      <c r="AX26" s="39"/>
      <c r="AY26" s="39"/>
      <c r="AZ26" s="39"/>
      <c r="BA26" s="39"/>
      <c r="BB26" s="39"/>
      <c r="BC26" s="39"/>
      <c r="BD26" s="39"/>
      <c r="BE26" s="39"/>
      <c r="BF26" s="39"/>
      <c r="BG26" s="39"/>
      <c r="BH26" s="39"/>
      <c r="BI26" s="39"/>
      <c r="BJ26" s="39"/>
      <c r="BK26" s="39"/>
      <c r="BL26" s="39"/>
    </row>
    <row r="27" spans="1:64" ht="26.25" customHeight="1" thickBot="1">
      <c r="A27" s="258">
        <v>2</v>
      </c>
      <c r="B27" s="286" t="s">
        <v>71</v>
      </c>
      <c r="C27" s="286"/>
      <c r="D27" s="286"/>
      <c r="E27" s="286"/>
      <c r="F27" s="286"/>
      <c r="G27" s="286"/>
      <c r="H27" s="286"/>
      <c r="I27" s="286"/>
      <c r="J27" s="286"/>
      <c r="K27" s="286"/>
      <c r="L27" s="286"/>
      <c r="M27" s="286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15"/>
      <c r="Z27" s="15"/>
      <c r="AA27" s="15"/>
      <c r="AB27" s="15"/>
      <c r="AC27" s="15"/>
      <c r="AD27" s="15"/>
      <c r="AE27" s="15"/>
      <c r="AF27" s="15"/>
      <c r="AG27" s="15"/>
      <c r="AH27" s="15"/>
      <c r="AI27" s="15"/>
      <c r="AJ27" s="15"/>
      <c r="AK27" s="15"/>
      <c r="AL27" s="15"/>
      <c r="AM27" s="15"/>
      <c r="AN27" s="15"/>
      <c r="AO27" s="15"/>
      <c r="AP27" s="15"/>
      <c r="AQ27" s="15"/>
      <c r="AR27" s="15"/>
      <c r="AS27" s="15"/>
      <c r="AT27" s="15"/>
      <c r="AU27" s="15"/>
      <c r="AV27" s="15"/>
      <c r="AW27" s="15"/>
      <c r="AX27" s="15"/>
      <c r="AY27" s="15"/>
      <c r="AZ27" s="15"/>
      <c r="BA27" s="15"/>
      <c r="BB27" s="15"/>
      <c r="BC27" s="15"/>
      <c r="BD27" s="15"/>
      <c r="BE27" s="15"/>
      <c r="BF27" s="15"/>
      <c r="BG27" s="15"/>
      <c r="BH27" s="15"/>
      <c r="BI27" s="15"/>
      <c r="BJ27" s="15"/>
      <c r="BK27" s="15"/>
      <c r="BL27" s="15"/>
    </row>
    <row r="28" spans="1:64" ht="24.75" customHeight="1">
      <c r="A28" s="17"/>
      <c r="B28" s="27"/>
      <c r="C28" s="28"/>
      <c r="D28" s="29" t="s">
        <v>72</v>
      </c>
      <c r="E28" s="27"/>
      <c r="F28" s="30"/>
      <c r="G28" s="31"/>
      <c r="H28" s="32"/>
      <c r="I28" s="32"/>
      <c r="J28" s="24"/>
      <c r="K28" s="32"/>
      <c r="L28" s="32"/>
      <c r="M28" s="25"/>
      <c r="N28" s="26"/>
      <c r="O28" s="26"/>
      <c r="P28" s="26"/>
      <c r="Q28" s="26"/>
      <c r="R28" s="2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  <c r="AF28" s="26"/>
      <c r="AG28" s="26"/>
      <c r="AH28" s="26"/>
      <c r="AI28" s="26"/>
      <c r="AJ28" s="26"/>
      <c r="AK28" s="26"/>
      <c r="AL28" s="26"/>
      <c r="AM28" s="26"/>
      <c r="AN28" s="26"/>
      <c r="AO28" s="26"/>
      <c r="AP28" s="26"/>
      <c r="AQ28" s="26"/>
      <c r="AR28" s="26"/>
      <c r="AS28" s="26"/>
      <c r="AT28" s="26"/>
      <c r="AU28" s="26"/>
      <c r="AV28" s="26"/>
      <c r="AW28" s="26"/>
      <c r="AX28" s="26"/>
      <c r="AY28" s="26"/>
      <c r="AZ28" s="26"/>
      <c r="BA28" s="26"/>
      <c r="BB28" s="26"/>
      <c r="BC28" s="26"/>
      <c r="BD28" s="26"/>
      <c r="BE28" s="26"/>
      <c r="BF28" s="26"/>
      <c r="BG28" s="26"/>
      <c r="BH28" s="26"/>
      <c r="BI28" s="26"/>
      <c r="BJ28" s="26"/>
      <c r="BK28" s="26"/>
      <c r="BL28" s="26"/>
    </row>
    <row r="29" spans="1:64" ht="57.75" customHeight="1">
      <c r="A29" s="17" t="s">
        <v>73</v>
      </c>
      <c r="B29" s="42" t="s">
        <v>17</v>
      </c>
      <c r="C29" s="28" t="s">
        <v>74</v>
      </c>
      <c r="D29" s="29" t="s">
        <v>75</v>
      </c>
      <c r="E29" s="27" t="s">
        <v>76</v>
      </c>
      <c r="F29" s="40">
        <f>(1192.8+54.1+1168.56+214.2+243.6+677.12+236.5+264.88+187.68+213.44+1374.56+300+440.64+246.84+280.72)*0.617*1.1</f>
        <v>4815.8108679999996</v>
      </c>
      <c r="G29" s="31" t="s">
        <v>77</v>
      </c>
      <c r="H29" s="142">
        <v>13.91</v>
      </c>
      <c r="I29" s="41">
        <f t="shared" ref="I29:I36" si="4">H29*F29</f>
        <v>66987.929173879995</v>
      </c>
      <c r="J29" s="24">
        <v>0.28349999999999997</v>
      </c>
      <c r="K29" s="41">
        <f t="shared" ref="K29:K36" si="5">H29+(H29*J29)</f>
        <v>17.853484999999999</v>
      </c>
      <c r="L29" s="41">
        <f t="shared" ref="L29:L36" si="6">K29*F29</f>
        <v>85979.007094674962</v>
      </c>
      <c r="M29" s="25">
        <f t="shared" ref="M29:M36" si="7">L29/$M$55</f>
        <v>0.18193212743939868</v>
      </c>
      <c r="N29" s="26"/>
      <c r="O29" s="26"/>
      <c r="P29" s="26"/>
      <c r="Q29" s="26"/>
      <c r="R29" s="2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  <c r="AF29" s="26"/>
      <c r="AG29" s="26"/>
      <c r="AH29" s="26"/>
      <c r="AI29" s="26"/>
      <c r="AJ29" s="26"/>
      <c r="AK29" s="26"/>
      <c r="AL29" s="26"/>
      <c r="AM29" s="26"/>
      <c r="AN29" s="26"/>
      <c r="AO29" s="26"/>
      <c r="AP29" s="26"/>
      <c r="AQ29" s="26"/>
      <c r="AR29" s="26"/>
      <c r="AS29" s="26"/>
      <c r="AT29" s="26"/>
      <c r="AU29" s="26"/>
      <c r="AV29" s="26"/>
      <c r="AW29" s="26"/>
      <c r="AX29" s="26"/>
      <c r="AY29" s="26"/>
      <c r="AZ29" s="26"/>
      <c r="BA29" s="26"/>
      <c r="BB29" s="26"/>
      <c r="BC29" s="26"/>
      <c r="BD29" s="26"/>
      <c r="BE29" s="26"/>
      <c r="BF29" s="26"/>
      <c r="BG29" s="26"/>
      <c r="BH29" s="26"/>
      <c r="BI29" s="26"/>
      <c r="BJ29" s="26"/>
      <c r="BK29" s="26"/>
      <c r="BL29" s="26"/>
    </row>
    <row r="30" spans="1:64" ht="45.75" customHeight="1">
      <c r="A30" s="17" t="s">
        <v>78</v>
      </c>
      <c r="B30" s="18" t="s">
        <v>17</v>
      </c>
      <c r="C30" s="28" t="s">
        <v>79</v>
      </c>
      <c r="D30" s="29" t="s">
        <v>80</v>
      </c>
      <c r="E30" s="27" t="s">
        <v>39</v>
      </c>
      <c r="F30" s="40">
        <f>((((5+6)*10.6)/2)+(((5+1)*12.04)/2)+(((1+6)*9.24)/2))*0.26</f>
        <v>32.957599999999999</v>
      </c>
      <c r="G30" s="31" t="s">
        <v>81</v>
      </c>
      <c r="H30" s="142">
        <v>712.59</v>
      </c>
      <c r="I30" s="41">
        <f t="shared" si="4"/>
        <v>23485.256184000002</v>
      </c>
      <c r="J30" s="24">
        <v>0.28349999999999997</v>
      </c>
      <c r="K30" s="41">
        <f t="shared" si="5"/>
        <v>914.60926500000005</v>
      </c>
      <c r="L30" s="41">
        <f t="shared" si="6"/>
        <v>30143.326312164001</v>
      </c>
      <c r="M30" s="25">
        <f t="shared" si="7"/>
        <v>6.3783470749241178E-2</v>
      </c>
      <c r="N30" s="26"/>
      <c r="O30" s="26"/>
      <c r="P30" s="26"/>
      <c r="Q30" s="26"/>
      <c r="R30" s="2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  <c r="AF30" s="26"/>
      <c r="AG30" s="26"/>
      <c r="AH30" s="26"/>
      <c r="AI30" s="26"/>
      <c r="AJ30" s="26"/>
      <c r="AK30" s="26"/>
      <c r="AL30" s="26"/>
      <c r="AM30" s="26"/>
      <c r="AN30" s="26"/>
      <c r="AO30" s="26"/>
      <c r="AP30" s="26"/>
      <c r="AQ30" s="26"/>
      <c r="AR30" s="26"/>
      <c r="AS30" s="26"/>
      <c r="AT30" s="26"/>
      <c r="AU30" s="26"/>
      <c r="AV30" s="26"/>
      <c r="AW30" s="26"/>
      <c r="AX30" s="26"/>
      <c r="AY30" s="26"/>
      <c r="AZ30" s="26"/>
      <c r="BA30" s="26"/>
      <c r="BB30" s="26"/>
      <c r="BC30" s="26"/>
      <c r="BD30" s="26"/>
      <c r="BE30" s="26"/>
      <c r="BF30" s="26"/>
      <c r="BG30" s="26"/>
      <c r="BH30" s="26"/>
      <c r="BI30" s="26"/>
      <c r="BJ30" s="26"/>
      <c r="BK30" s="26"/>
      <c r="BL30" s="26"/>
    </row>
    <row r="31" spans="1:64" ht="38.25">
      <c r="A31" s="17" t="s">
        <v>82</v>
      </c>
      <c r="B31" s="42" t="s">
        <v>17</v>
      </c>
      <c r="C31" s="28" t="s">
        <v>83</v>
      </c>
      <c r="D31" s="29" t="s">
        <v>84</v>
      </c>
      <c r="E31" s="27" t="s">
        <v>65</v>
      </c>
      <c r="F31" s="40">
        <v>18</v>
      </c>
      <c r="G31" s="31" t="s">
        <v>85</v>
      </c>
      <c r="H31" s="142">
        <v>30.87</v>
      </c>
      <c r="I31" s="41">
        <f t="shared" si="4"/>
        <v>555.66</v>
      </c>
      <c r="J31" s="24">
        <v>0.28349999999999997</v>
      </c>
      <c r="K31" s="41">
        <f t="shared" si="5"/>
        <v>39.621645000000001</v>
      </c>
      <c r="L31" s="41">
        <f t="shared" si="6"/>
        <v>713.18961000000002</v>
      </c>
      <c r="M31" s="25">
        <f t="shared" si="7"/>
        <v>1.5091137639226253E-3</v>
      </c>
      <c r="N31" s="26"/>
      <c r="O31" s="26"/>
      <c r="P31" s="26"/>
      <c r="Q31" s="26"/>
      <c r="R31" s="2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  <c r="AF31" s="26"/>
      <c r="AG31" s="26"/>
      <c r="AH31" s="26"/>
      <c r="AI31" s="26"/>
      <c r="AJ31" s="26"/>
      <c r="AK31" s="26"/>
      <c r="AL31" s="26"/>
      <c r="AM31" s="26"/>
      <c r="AN31" s="26"/>
      <c r="AO31" s="26"/>
      <c r="AP31" s="26"/>
      <c r="AQ31" s="26"/>
      <c r="AR31" s="26"/>
      <c r="AS31" s="26"/>
      <c r="AT31" s="26"/>
      <c r="AU31" s="26"/>
      <c r="AV31" s="26"/>
      <c r="AW31" s="26"/>
      <c r="AX31" s="26"/>
      <c r="AY31" s="26"/>
      <c r="AZ31" s="26"/>
      <c r="BA31" s="26"/>
      <c r="BB31" s="26"/>
      <c r="BC31" s="26"/>
      <c r="BD31" s="26"/>
      <c r="BE31" s="26"/>
      <c r="BF31" s="26"/>
      <c r="BG31" s="26"/>
      <c r="BH31" s="26"/>
      <c r="BI31" s="26"/>
      <c r="BJ31" s="26"/>
      <c r="BK31" s="26"/>
      <c r="BL31" s="26"/>
    </row>
    <row r="32" spans="1:64" ht="51">
      <c r="A32" s="17" t="s">
        <v>86</v>
      </c>
      <c r="B32" s="42" t="s">
        <v>17</v>
      </c>
      <c r="C32" s="28" t="s">
        <v>87</v>
      </c>
      <c r="D32" s="29" t="s">
        <v>88</v>
      </c>
      <c r="E32" s="27" t="s">
        <v>89</v>
      </c>
      <c r="F32" s="40">
        <f>(10.75*18)</f>
        <v>193.5</v>
      </c>
      <c r="G32" s="31" t="s">
        <v>90</v>
      </c>
      <c r="H32" s="142">
        <v>192.12</v>
      </c>
      <c r="I32" s="41">
        <f t="shared" si="4"/>
        <v>37175.22</v>
      </c>
      <c r="J32" s="24">
        <v>0.28349999999999997</v>
      </c>
      <c r="K32" s="41">
        <f t="shared" si="5"/>
        <v>246.58601999999999</v>
      </c>
      <c r="L32" s="41">
        <f t="shared" si="6"/>
        <v>47714.394869999996</v>
      </c>
      <c r="M32" s="25">
        <f t="shared" si="7"/>
        <v>0.1009639638967204</v>
      </c>
      <c r="N32" s="26"/>
      <c r="O32" s="26"/>
      <c r="P32" s="26"/>
      <c r="Q32" s="26"/>
      <c r="R32" s="2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  <c r="AF32" s="26"/>
      <c r="AG32" s="26"/>
      <c r="AH32" s="26"/>
      <c r="AI32" s="26"/>
      <c r="AJ32" s="26"/>
      <c r="AK32" s="26"/>
      <c r="AL32" s="26"/>
      <c r="AM32" s="26"/>
      <c r="AN32" s="26"/>
      <c r="AO32" s="26"/>
      <c r="AP32" s="26"/>
      <c r="AQ32" s="26"/>
      <c r="AR32" s="26"/>
      <c r="AS32" s="26"/>
      <c r="AT32" s="26"/>
      <c r="AU32" s="26"/>
      <c r="AV32" s="26"/>
      <c r="AW32" s="26"/>
      <c r="AX32" s="26"/>
      <c r="AY32" s="26"/>
      <c r="AZ32" s="26"/>
      <c r="BA32" s="26"/>
      <c r="BB32" s="26"/>
      <c r="BC32" s="26"/>
      <c r="BD32" s="26"/>
      <c r="BE32" s="26"/>
      <c r="BF32" s="26"/>
      <c r="BG32" s="26"/>
      <c r="BH32" s="26"/>
      <c r="BI32" s="26"/>
      <c r="BJ32" s="26"/>
      <c r="BK32" s="26"/>
      <c r="BL32" s="26"/>
    </row>
    <row r="33" spans="1:64" ht="38.25">
      <c r="A33" s="17" t="s">
        <v>91</v>
      </c>
      <c r="B33" s="42" t="s">
        <v>17</v>
      </c>
      <c r="C33" s="28" t="s">
        <v>92</v>
      </c>
      <c r="D33" s="29" t="s">
        <v>93</v>
      </c>
      <c r="E33" s="27" t="s">
        <v>89</v>
      </c>
      <c r="F33" s="30">
        <f>6.14+4.2</f>
        <v>10.34</v>
      </c>
      <c r="G33" s="31" t="s">
        <v>94</v>
      </c>
      <c r="H33" s="142">
        <v>102.95</v>
      </c>
      <c r="I33" s="32">
        <f t="shared" si="4"/>
        <v>1064.5029999999999</v>
      </c>
      <c r="J33" s="24">
        <v>0.28349999999999997</v>
      </c>
      <c r="K33" s="32">
        <f t="shared" si="5"/>
        <v>132.136325</v>
      </c>
      <c r="L33" s="32">
        <f t="shared" si="6"/>
        <v>1366.2896005</v>
      </c>
      <c r="M33" s="25">
        <f t="shared" si="7"/>
        <v>2.8910775096946451E-3</v>
      </c>
      <c r="N33" s="26"/>
      <c r="O33" s="26"/>
      <c r="P33" s="26"/>
      <c r="Q33" s="26"/>
      <c r="R33" s="2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  <c r="AF33" s="26"/>
      <c r="AG33" s="26"/>
      <c r="AH33" s="26"/>
      <c r="AI33" s="26"/>
      <c r="AJ33" s="26"/>
      <c r="AK33" s="26"/>
      <c r="AL33" s="26"/>
      <c r="AM33" s="26"/>
      <c r="AN33" s="26"/>
      <c r="AO33" s="26"/>
      <c r="AP33" s="26"/>
      <c r="AQ33" s="26"/>
      <c r="AR33" s="26"/>
      <c r="AS33" s="26"/>
      <c r="AT33" s="26"/>
      <c r="AU33" s="26"/>
      <c r="AV33" s="26"/>
      <c r="AW33" s="26"/>
      <c r="AX33" s="26"/>
      <c r="AY33" s="26"/>
      <c r="AZ33" s="26"/>
      <c r="BA33" s="26"/>
      <c r="BB33" s="26"/>
      <c r="BC33" s="26"/>
      <c r="BD33" s="26"/>
      <c r="BE33" s="26"/>
      <c r="BF33" s="26"/>
      <c r="BG33" s="26"/>
      <c r="BH33" s="26"/>
      <c r="BI33" s="26"/>
      <c r="BJ33" s="26"/>
      <c r="BK33" s="26"/>
      <c r="BL33" s="26"/>
    </row>
    <row r="34" spans="1:64" ht="51">
      <c r="A34" s="17" t="s">
        <v>95</v>
      </c>
      <c r="B34" s="27" t="s">
        <v>17</v>
      </c>
      <c r="C34" s="28" t="s">
        <v>96</v>
      </c>
      <c r="D34" s="29" t="s">
        <v>97</v>
      </c>
      <c r="E34" s="27" t="s">
        <v>20</v>
      </c>
      <c r="F34" s="30">
        <f>((((5+6)*10.6)/2)+(((5+1)*12.04)/2)+(((1+6)*9.24)/2))</f>
        <v>126.75999999999999</v>
      </c>
      <c r="G34" s="31" t="s">
        <v>98</v>
      </c>
      <c r="H34" s="142">
        <v>36.159999999999997</v>
      </c>
      <c r="I34" s="32">
        <f t="shared" si="4"/>
        <v>4583.641599999999</v>
      </c>
      <c r="J34" s="24">
        <v>0.28349999999999997</v>
      </c>
      <c r="K34" s="32">
        <f t="shared" si="5"/>
        <v>46.411359999999995</v>
      </c>
      <c r="L34" s="32">
        <f t="shared" si="6"/>
        <v>5883.1039935999988</v>
      </c>
      <c r="M34" s="25">
        <f t="shared" si="7"/>
        <v>1.2448685576518596E-2</v>
      </c>
      <c r="N34" s="26"/>
      <c r="O34" s="26"/>
      <c r="P34" s="26"/>
      <c r="Q34" s="26"/>
      <c r="R34" s="2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  <c r="AF34" s="26"/>
      <c r="AG34" s="26"/>
      <c r="AH34" s="26"/>
      <c r="AI34" s="26"/>
      <c r="AJ34" s="26"/>
      <c r="AK34" s="26"/>
      <c r="AL34" s="26"/>
      <c r="AM34" s="26"/>
      <c r="AN34" s="26"/>
      <c r="AO34" s="26"/>
      <c r="AP34" s="26"/>
      <c r="AQ34" s="26"/>
      <c r="AR34" s="26"/>
      <c r="AS34" s="26"/>
      <c r="AT34" s="26"/>
      <c r="AU34" s="26"/>
      <c r="AV34" s="26"/>
      <c r="AW34" s="26"/>
      <c r="AX34" s="26"/>
      <c r="AY34" s="26"/>
      <c r="AZ34" s="26"/>
      <c r="BA34" s="26"/>
      <c r="BB34" s="26"/>
      <c r="BC34" s="26"/>
      <c r="BD34" s="26"/>
      <c r="BE34" s="26"/>
      <c r="BF34" s="26"/>
      <c r="BG34" s="26"/>
      <c r="BH34" s="26"/>
      <c r="BI34" s="26"/>
      <c r="BJ34" s="26"/>
      <c r="BK34" s="26"/>
      <c r="BL34" s="26"/>
    </row>
    <row r="35" spans="1:64" ht="69" customHeight="1">
      <c r="A35" s="17" t="s">
        <v>99</v>
      </c>
      <c r="B35" s="27" t="s">
        <v>17</v>
      </c>
      <c r="C35" s="28" t="s">
        <v>100</v>
      </c>
      <c r="D35" s="29" t="s">
        <v>101</v>
      </c>
      <c r="E35" s="27" t="s">
        <v>76</v>
      </c>
      <c r="F35" s="30">
        <f>(96.84+84.84+188.16+38.9+92.88+24+65.8+9.27+151.8+141.12+24+6.94)*1.578*1.1</f>
        <v>1604.8338900000001</v>
      </c>
      <c r="G35" s="31" t="s">
        <v>102</v>
      </c>
      <c r="H35" s="142">
        <v>11.27</v>
      </c>
      <c r="I35" s="32">
        <f t="shared" si="4"/>
        <v>18086.477940299999</v>
      </c>
      <c r="J35" s="24">
        <v>0.28349999999999997</v>
      </c>
      <c r="K35" s="32">
        <f t="shared" si="5"/>
        <v>14.465045</v>
      </c>
      <c r="L35" s="32">
        <f t="shared" si="6"/>
        <v>23213.994436375051</v>
      </c>
      <c r="M35" s="25">
        <f t="shared" si="7"/>
        <v>4.9120960300524902E-2</v>
      </c>
      <c r="N35" s="26"/>
      <c r="O35" s="26"/>
      <c r="P35" s="26"/>
      <c r="Q35" s="26"/>
      <c r="R35" s="2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  <c r="AF35" s="26"/>
      <c r="AG35" s="26"/>
      <c r="AH35" s="26"/>
      <c r="AI35" s="26"/>
      <c r="AJ35" s="26"/>
      <c r="AK35" s="26"/>
      <c r="AL35" s="26"/>
      <c r="AM35" s="26"/>
      <c r="AN35" s="26"/>
      <c r="AO35" s="26"/>
      <c r="AP35" s="26"/>
      <c r="AQ35" s="26"/>
      <c r="AR35" s="26"/>
      <c r="AS35" s="26"/>
      <c r="AT35" s="26"/>
      <c r="AU35" s="26"/>
      <c r="AV35" s="26"/>
      <c r="AW35" s="26"/>
      <c r="AX35" s="26"/>
      <c r="AY35" s="26"/>
      <c r="AZ35" s="26"/>
      <c r="BA35" s="26"/>
      <c r="BB35" s="26"/>
      <c r="BC35" s="26"/>
      <c r="BD35" s="26"/>
      <c r="BE35" s="26"/>
      <c r="BF35" s="26"/>
      <c r="BG35" s="26"/>
      <c r="BH35" s="26"/>
      <c r="BI35" s="26"/>
      <c r="BJ35" s="26"/>
      <c r="BK35" s="26"/>
      <c r="BL35" s="26"/>
    </row>
    <row r="36" spans="1:64" ht="38.25">
      <c r="A36" s="17" t="s">
        <v>103</v>
      </c>
      <c r="B36" s="27" t="s">
        <v>17</v>
      </c>
      <c r="C36" s="28" t="s">
        <v>104</v>
      </c>
      <c r="D36" s="29" t="s">
        <v>105</v>
      </c>
      <c r="E36" s="27" t="s">
        <v>20</v>
      </c>
      <c r="F36" s="30">
        <f>(2*3.14*0.01*7805.2)+(2*3.14*0.016*1017.01)</f>
        <v>592.35572480000008</v>
      </c>
      <c r="G36" s="31" t="s">
        <v>106</v>
      </c>
      <c r="H36" s="142">
        <v>24.06</v>
      </c>
      <c r="I36" s="32">
        <f t="shared" si="4"/>
        <v>14252.078738688</v>
      </c>
      <c r="J36" s="24">
        <v>0.28349999999999997</v>
      </c>
      <c r="K36" s="32">
        <f t="shared" si="5"/>
        <v>30.881009999999996</v>
      </c>
      <c r="L36" s="32">
        <f t="shared" si="6"/>
        <v>18292.543061106047</v>
      </c>
      <c r="M36" s="25">
        <f t="shared" si="7"/>
        <v>3.8707137798407426E-2</v>
      </c>
      <c r="N36" s="26"/>
      <c r="O36" s="26"/>
      <c r="P36" s="26"/>
      <c r="Q36" s="26"/>
      <c r="R36" s="2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  <c r="AF36" s="26"/>
      <c r="AG36" s="26"/>
      <c r="AH36" s="26"/>
      <c r="AI36" s="26"/>
      <c r="AJ36" s="26"/>
      <c r="AK36" s="26"/>
      <c r="AL36" s="26"/>
      <c r="AM36" s="26"/>
      <c r="AN36" s="26"/>
      <c r="AO36" s="26"/>
      <c r="AP36" s="26"/>
      <c r="AQ36" s="26"/>
      <c r="AR36" s="26"/>
      <c r="AS36" s="26"/>
      <c r="AT36" s="26"/>
      <c r="AU36" s="26"/>
      <c r="AV36" s="26"/>
      <c r="AW36" s="26"/>
      <c r="AX36" s="26"/>
      <c r="AY36" s="26"/>
      <c r="AZ36" s="26"/>
      <c r="BA36" s="26"/>
      <c r="BB36" s="26"/>
      <c r="BC36" s="26"/>
      <c r="BD36" s="26"/>
      <c r="BE36" s="26"/>
      <c r="BF36" s="26"/>
      <c r="BG36" s="26"/>
      <c r="BH36" s="26"/>
      <c r="BI36" s="26"/>
      <c r="BJ36" s="26"/>
      <c r="BK36" s="26"/>
      <c r="BL36" s="26"/>
    </row>
    <row r="37" spans="1:64" ht="22.5" customHeight="1">
      <c r="A37" s="17"/>
      <c r="B37" s="27"/>
      <c r="C37" s="28"/>
      <c r="D37" s="29" t="s">
        <v>107</v>
      </c>
      <c r="E37" s="27"/>
      <c r="F37" s="30"/>
      <c r="G37" s="31"/>
      <c r="H37" s="32"/>
      <c r="I37" s="32"/>
      <c r="J37" s="24"/>
      <c r="K37" s="32"/>
      <c r="L37" s="32"/>
      <c r="M37" s="25"/>
      <c r="N37" s="26"/>
      <c r="O37" s="26"/>
      <c r="P37" s="26"/>
      <c r="Q37" s="26"/>
      <c r="R37" s="2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  <c r="AF37" s="26"/>
      <c r="AG37" s="26"/>
      <c r="AH37" s="26"/>
      <c r="AI37" s="26"/>
      <c r="AJ37" s="26"/>
      <c r="AK37" s="26"/>
      <c r="AL37" s="26"/>
      <c r="AM37" s="26"/>
      <c r="AN37" s="26"/>
      <c r="AO37" s="26"/>
      <c r="AP37" s="26"/>
      <c r="AQ37" s="26"/>
      <c r="AR37" s="26"/>
      <c r="AS37" s="26"/>
      <c r="AT37" s="26"/>
      <c r="AU37" s="26"/>
      <c r="AV37" s="26"/>
      <c r="AW37" s="26"/>
      <c r="AX37" s="26"/>
      <c r="AY37" s="26"/>
      <c r="AZ37" s="26"/>
      <c r="BA37" s="26"/>
      <c r="BB37" s="26"/>
      <c r="BC37" s="26"/>
      <c r="BD37" s="26"/>
      <c r="BE37" s="26"/>
      <c r="BF37" s="26"/>
      <c r="BG37" s="26"/>
      <c r="BH37" s="26"/>
      <c r="BI37" s="26"/>
      <c r="BJ37" s="26"/>
      <c r="BK37" s="26"/>
      <c r="BL37" s="26"/>
    </row>
    <row r="38" spans="1:64" ht="56.25" customHeight="1">
      <c r="A38" s="17" t="s">
        <v>103</v>
      </c>
      <c r="B38" s="27" t="s">
        <v>17</v>
      </c>
      <c r="C38" s="28" t="s">
        <v>74</v>
      </c>
      <c r="D38" s="29" t="s">
        <v>75</v>
      </c>
      <c r="E38" s="27" t="s">
        <v>76</v>
      </c>
      <c r="F38" s="30">
        <f>(1101.92+1075.68+54.1+197.88+225.04+771.48+300+198.52+138.72+157.76+390.08+236.5+156.52+108.12+122.96)*0.617*1.1</f>
        <v>3553.1845360000007</v>
      </c>
      <c r="G38" s="31" t="s">
        <v>108</v>
      </c>
      <c r="H38" s="142">
        <v>13.91</v>
      </c>
      <c r="I38" s="32">
        <f t="shared" ref="I38:I45" si="8">H38*F38</f>
        <v>49424.79689576001</v>
      </c>
      <c r="J38" s="24">
        <v>0.28349999999999997</v>
      </c>
      <c r="K38" s="32">
        <f t="shared" ref="K38:K45" si="9">H38+(H38*J38)</f>
        <v>17.853484999999999</v>
      </c>
      <c r="L38" s="32">
        <f t="shared" ref="L38:L45" si="10">K38*F38</f>
        <v>63436.726815707967</v>
      </c>
      <c r="M38" s="25">
        <f t="shared" ref="M38:M45" si="11">L38/$M$55</f>
        <v>0.13423251858055588</v>
      </c>
      <c r="N38" s="26"/>
      <c r="O38" s="26"/>
      <c r="P38" s="26"/>
      <c r="Q38" s="26"/>
      <c r="R38" s="2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  <c r="AF38" s="26"/>
      <c r="AG38" s="26"/>
      <c r="AH38" s="26"/>
      <c r="AI38" s="26"/>
      <c r="AJ38" s="26"/>
      <c r="AK38" s="26"/>
      <c r="AL38" s="26"/>
      <c r="AM38" s="26"/>
      <c r="AN38" s="26"/>
      <c r="AO38" s="26"/>
      <c r="AP38" s="26"/>
      <c r="AQ38" s="26"/>
      <c r="AR38" s="26"/>
      <c r="AS38" s="26"/>
      <c r="AT38" s="26"/>
      <c r="AU38" s="26"/>
      <c r="AV38" s="26"/>
      <c r="AW38" s="26"/>
      <c r="AX38" s="26"/>
      <c r="AY38" s="26"/>
      <c r="AZ38" s="26"/>
      <c r="BA38" s="26"/>
      <c r="BB38" s="26"/>
      <c r="BC38" s="26"/>
      <c r="BD38" s="26"/>
      <c r="BE38" s="26"/>
      <c r="BF38" s="26"/>
      <c r="BG38" s="26"/>
      <c r="BH38" s="26"/>
      <c r="BI38" s="26"/>
      <c r="BJ38" s="26"/>
      <c r="BK38" s="26"/>
      <c r="BL38" s="26"/>
    </row>
    <row r="39" spans="1:64" ht="56.25" customHeight="1">
      <c r="A39" s="17" t="s">
        <v>109</v>
      </c>
      <c r="B39" s="27" t="s">
        <v>17</v>
      </c>
      <c r="C39" s="28" t="s">
        <v>100</v>
      </c>
      <c r="D39" s="29" t="s">
        <v>101</v>
      </c>
      <c r="E39" s="27" t="s">
        <v>76</v>
      </c>
      <c r="F39" s="30">
        <f>(84.84+188.16+89.1+26.96+141.12+6.89+49.21+83.16+69.84)*1.578*1.1</f>
        <v>1283.2422240000003</v>
      </c>
      <c r="G39" s="31" t="s">
        <v>110</v>
      </c>
      <c r="H39" s="142">
        <v>11.27</v>
      </c>
      <c r="I39" s="32">
        <f t="shared" si="8"/>
        <v>14462.139864480003</v>
      </c>
      <c r="J39" s="24">
        <v>0.28349999999999997</v>
      </c>
      <c r="K39" s="32">
        <f t="shared" si="9"/>
        <v>14.465045</v>
      </c>
      <c r="L39" s="32">
        <f t="shared" si="10"/>
        <v>18562.156516060084</v>
      </c>
      <c r="M39" s="25">
        <f t="shared" si="11"/>
        <v>3.9277641588850852E-2</v>
      </c>
      <c r="N39" s="26"/>
      <c r="O39" s="26"/>
      <c r="P39" s="26"/>
      <c r="Q39" s="26"/>
      <c r="R39" s="2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  <c r="AF39" s="26"/>
      <c r="AG39" s="26"/>
      <c r="AH39" s="26"/>
      <c r="AI39" s="26"/>
      <c r="AJ39" s="26"/>
      <c r="AK39" s="26"/>
      <c r="AL39" s="26"/>
      <c r="AM39" s="26"/>
      <c r="AN39" s="26"/>
      <c r="AO39" s="26"/>
      <c r="AP39" s="26"/>
      <c r="AQ39" s="26"/>
      <c r="AR39" s="26"/>
      <c r="AS39" s="26"/>
      <c r="AT39" s="26"/>
      <c r="AU39" s="26"/>
      <c r="AV39" s="26"/>
      <c r="AW39" s="26"/>
      <c r="AX39" s="26"/>
      <c r="AY39" s="26"/>
      <c r="AZ39" s="26"/>
      <c r="BA39" s="26"/>
      <c r="BB39" s="26"/>
      <c r="BC39" s="26"/>
      <c r="BD39" s="26"/>
      <c r="BE39" s="26"/>
      <c r="BF39" s="26"/>
      <c r="BG39" s="26"/>
      <c r="BH39" s="26"/>
      <c r="BI39" s="26"/>
      <c r="BJ39" s="26"/>
      <c r="BK39" s="26"/>
      <c r="BL39" s="26"/>
    </row>
    <row r="40" spans="1:64" ht="50.25" customHeight="1">
      <c r="A40" s="17" t="s">
        <v>111</v>
      </c>
      <c r="B40" s="27" t="s">
        <v>17</v>
      </c>
      <c r="C40" s="28" t="s">
        <v>79</v>
      </c>
      <c r="D40" s="29" t="s">
        <v>80</v>
      </c>
      <c r="E40" s="27" t="s">
        <v>39</v>
      </c>
      <c r="F40" s="30">
        <f>((((5+6)*9.74)/2)+(((5+1)*5.37)/2)+(((1+6)*6.87)/2))*0.26</f>
        <v>24.368500000000004</v>
      </c>
      <c r="G40" s="31" t="s">
        <v>112</v>
      </c>
      <c r="H40" s="142">
        <v>712.59</v>
      </c>
      <c r="I40" s="32">
        <f t="shared" si="8"/>
        <v>17364.749415000006</v>
      </c>
      <c r="J40" s="24">
        <v>0.28349999999999997</v>
      </c>
      <c r="K40" s="32">
        <f t="shared" si="9"/>
        <v>914.60926500000005</v>
      </c>
      <c r="L40" s="32">
        <f t="shared" si="10"/>
        <v>22287.655874152504</v>
      </c>
      <c r="M40" s="25">
        <f t="shared" si="11"/>
        <v>4.7160821994104062E-2</v>
      </c>
      <c r="N40" s="26"/>
      <c r="O40" s="26"/>
      <c r="P40" s="26"/>
      <c r="Q40" s="26"/>
      <c r="R40" s="2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  <c r="AF40" s="26"/>
      <c r="AG40" s="26"/>
      <c r="AH40" s="26"/>
      <c r="AI40" s="26"/>
      <c r="AJ40" s="26"/>
      <c r="AK40" s="26"/>
      <c r="AL40" s="26"/>
      <c r="AM40" s="26"/>
      <c r="AN40" s="26"/>
      <c r="AO40" s="26"/>
      <c r="AP40" s="26"/>
      <c r="AQ40" s="26"/>
      <c r="AR40" s="26"/>
      <c r="AS40" s="26"/>
      <c r="AT40" s="26"/>
      <c r="AU40" s="26"/>
      <c r="AV40" s="26"/>
      <c r="AW40" s="26"/>
      <c r="AX40" s="26"/>
      <c r="AY40" s="26"/>
      <c r="AZ40" s="26"/>
      <c r="BA40" s="26"/>
      <c r="BB40" s="26"/>
      <c r="BC40" s="26"/>
      <c r="BD40" s="26"/>
      <c r="BE40" s="26"/>
      <c r="BF40" s="26"/>
      <c r="BG40" s="26"/>
      <c r="BH40" s="26"/>
      <c r="BI40" s="26"/>
      <c r="BJ40" s="26"/>
      <c r="BK40" s="26"/>
      <c r="BL40" s="26"/>
    </row>
    <row r="41" spans="1:64" ht="38.25">
      <c r="A41" s="17" t="s">
        <v>113</v>
      </c>
      <c r="B41" s="27" t="s">
        <v>17</v>
      </c>
      <c r="C41" s="28" t="s">
        <v>83</v>
      </c>
      <c r="D41" s="29" t="s">
        <v>84</v>
      </c>
      <c r="E41" s="27" t="s">
        <v>65</v>
      </c>
      <c r="F41" s="30">
        <v>14</v>
      </c>
      <c r="G41" s="31" t="s">
        <v>114</v>
      </c>
      <c r="H41" s="142">
        <v>30.87</v>
      </c>
      <c r="I41" s="32">
        <f t="shared" si="8"/>
        <v>432.18</v>
      </c>
      <c r="J41" s="24">
        <v>0.28349999999999997</v>
      </c>
      <c r="K41" s="32">
        <f t="shared" si="9"/>
        <v>39.621645000000001</v>
      </c>
      <c r="L41" s="32">
        <f t="shared" si="10"/>
        <v>554.70303000000001</v>
      </c>
      <c r="M41" s="25">
        <f t="shared" si="11"/>
        <v>1.1737551497175975E-3</v>
      </c>
      <c r="N41" s="26"/>
      <c r="O41" s="26"/>
      <c r="P41" s="26"/>
      <c r="Q41" s="26"/>
      <c r="R41" s="26"/>
      <c r="S41" s="26"/>
      <c r="T41" s="26"/>
      <c r="U41" s="26"/>
      <c r="V41" s="26"/>
      <c r="W41" s="26"/>
      <c r="X41" s="26"/>
      <c r="Y41" s="26"/>
      <c r="Z41" s="26"/>
      <c r="AA41" s="26"/>
      <c r="AB41" s="26"/>
      <c r="AC41" s="26"/>
      <c r="AD41" s="26"/>
      <c r="AE41" s="26"/>
      <c r="AF41" s="26"/>
      <c r="AG41" s="26"/>
      <c r="AH41" s="26"/>
      <c r="AI41" s="26"/>
      <c r="AJ41" s="26"/>
      <c r="AK41" s="26"/>
      <c r="AL41" s="26"/>
      <c r="AM41" s="26"/>
      <c r="AN41" s="26"/>
      <c r="AO41" s="26"/>
      <c r="AP41" s="26"/>
      <c r="AQ41" s="26"/>
      <c r="AR41" s="26"/>
      <c r="AS41" s="26"/>
      <c r="AT41" s="26"/>
      <c r="AU41" s="26"/>
      <c r="AV41" s="26"/>
      <c r="AW41" s="26"/>
      <c r="AX41" s="26"/>
      <c r="AY41" s="26"/>
      <c r="AZ41" s="26"/>
      <c r="BA41" s="26"/>
      <c r="BB41" s="26"/>
      <c r="BC41" s="26"/>
      <c r="BD41" s="26"/>
      <c r="BE41" s="26"/>
      <c r="BF41" s="26"/>
      <c r="BG41" s="26"/>
      <c r="BH41" s="26"/>
      <c r="BI41" s="26"/>
      <c r="BJ41" s="26"/>
      <c r="BK41" s="26"/>
      <c r="BL41" s="26"/>
    </row>
    <row r="42" spans="1:64" ht="51">
      <c r="A42" s="17" t="s">
        <v>115</v>
      </c>
      <c r="B42" s="27" t="s">
        <v>17</v>
      </c>
      <c r="C42" s="28" t="s">
        <v>87</v>
      </c>
      <c r="D42" s="29" t="s">
        <v>88</v>
      </c>
      <c r="E42" s="27" t="s">
        <v>89</v>
      </c>
      <c r="F42" s="30">
        <f>10.75*14</f>
        <v>150.5</v>
      </c>
      <c r="G42" s="31" t="s">
        <v>116</v>
      </c>
      <c r="H42" s="142">
        <v>192.12</v>
      </c>
      <c r="I42" s="32">
        <f t="shared" si="8"/>
        <v>28914.06</v>
      </c>
      <c r="J42" s="24">
        <v>0.28349999999999997</v>
      </c>
      <c r="K42" s="32">
        <f t="shared" si="9"/>
        <v>246.58601999999999</v>
      </c>
      <c r="L42" s="32">
        <f t="shared" si="10"/>
        <v>37111.19601</v>
      </c>
      <c r="M42" s="25">
        <f t="shared" si="11"/>
        <v>7.8527527475226983E-2</v>
      </c>
      <c r="N42" s="26"/>
      <c r="O42" s="26"/>
      <c r="P42" s="26"/>
      <c r="Q42" s="26"/>
      <c r="R42" s="26"/>
      <c r="S42" s="26"/>
      <c r="T42" s="26"/>
      <c r="U42" s="26"/>
      <c r="V42" s="26"/>
      <c r="W42" s="26"/>
      <c r="X42" s="26"/>
      <c r="Y42" s="26"/>
      <c r="Z42" s="26"/>
      <c r="AA42" s="26"/>
      <c r="AB42" s="26"/>
      <c r="AC42" s="26"/>
      <c r="AD42" s="26"/>
      <c r="AE42" s="26"/>
      <c r="AF42" s="26"/>
      <c r="AG42" s="26"/>
      <c r="AH42" s="26"/>
      <c r="AI42" s="26"/>
      <c r="AJ42" s="26"/>
      <c r="AK42" s="26"/>
      <c r="AL42" s="26"/>
      <c r="AM42" s="26"/>
      <c r="AN42" s="26"/>
      <c r="AO42" s="26"/>
      <c r="AP42" s="26"/>
      <c r="AQ42" s="26"/>
      <c r="AR42" s="26"/>
      <c r="AS42" s="26"/>
      <c r="AT42" s="26"/>
      <c r="AU42" s="26"/>
      <c r="AV42" s="26"/>
      <c r="AW42" s="26"/>
      <c r="AX42" s="26"/>
      <c r="AY42" s="26"/>
      <c r="AZ42" s="26"/>
      <c r="BA42" s="26"/>
      <c r="BB42" s="26"/>
      <c r="BC42" s="26"/>
      <c r="BD42" s="26"/>
      <c r="BE42" s="26"/>
      <c r="BF42" s="26"/>
      <c r="BG42" s="26"/>
      <c r="BH42" s="26"/>
      <c r="BI42" s="26"/>
      <c r="BJ42" s="26"/>
      <c r="BK42" s="26"/>
      <c r="BL42" s="26"/>
    </row>
    <row r="43" spans="1:64" ht="38.25">
      <c r="A43" s="17" t="s">
        <v>117</v>
      </c>
      <c r="B43" s="27" t="s">
        <v>17</v>
      </c>
      <c r="C43" s="28" t="s">
        <v>92</v>
      </c>
      <c r="D43" s="29" t="s">
        <v>93</v>
      </c>
      <c r="E43" s="27" t="s">
        <v>89</v>
      </c>
      <c r="F43" s="30">
        <f>(5.28+6.13)</f>
        <v>11.41</v>
      </c>
      <c r="G43" s="31" t="s">
        <v>118</v>
      </c>
      <c r="H43" s="142">
        <v>102.25</v>
      </c>
      <c r="I43" s="32">
        <f t="shared" si="8"/>
        <v>1166.6725000000001</v>
      </c>
      <c r="J43" s="24">
        <v>0.28349999999999997</v>
      </c>
      <c r="K43" s="32">
        <f t="shared" si="9"/>
        <v>131.237875</v>
      </c>
      <c r="L43" s="32">
        <f t="shared" si="10"/>
        <v>1497.42415375</v>
      </c>
      <c r="M43" s="25">
        <f t="shared" si="11"/>
        <v>3.1685590608285987E-3</v>
      </c>
      <c r="N43" s="26"/>
      <c r="O43" s="26"/>
      <c r="P43" s="26"/>
      <c r="Q43" s="26"/>
      <c r="R43" s="26"/>
      <c r="S43" s="26"/>
      <c r="T43" s="26"/>
      <c r="U43" s="26"/>
      <c r="V43" s="26"/>
      <c r="W43" s="26"/>
      <c r="X43" s="26"/>
      <c r="Y43" s="26"/>
      <c r="Z43" s="26"/>
      <c r="AA43" s="26"/>
      <c r="AB43" s="26"/>
      <c r="AC43" s="26"/>
      <c r="AD43" s="26"/>
      <c r="AE43" s="26"/>
      <c r="AF43" s="26"/>
      <c r="AG43" s="26"/>
      <c r="AH43" s="26"/>
      <c r="AI43" s="26"/>
      <c r="AJ43" s="26"/>
      <c r="AK43" s="26"/>
      <c r="AL43" s="26"/>
      <c r="AM43" s="26"/>
      <c r="AN43" s="26"/>
      <c r="AO43" s="26"/>
      <c r="AP43" s="26"/>
      <c r="AQ43" s="26"/>
      <c r="AR43" s="26"/>
      <c r="AS43" s="26"/>
      <c r="AT43" s="26"/>
      <c r="AU43" s="26"/>
      <c r="AV43" s="26"/>
      <c r="AW43" s="26"/>
      <c r="AX43" s="26"/>
      <c r="AY43" s="26"/>
      <c r="AZ43" s="26"/>
      <c r="BA43" s="26"/>
      <c r="BB43" s="26"/>
      <c r="BC43" s="26"/>
      <c r="BD43" s="26"/>
      <c r="BE43" s="26"/>
      <c r="BF43" s="26"/>
      <c r="BG43" s="26"/>
      <c r="BH43" s="26"/>
      <c r="BI43" s="26"/>
      <c r="BJ43" s="26"/>
      <c r="BK43" s="26"/>
      <c r="BL43" s="26"/>
    </row>
    <row r="44" spans="1:64" ht="51">
      <c r="A44" s="17" t="s">
        <v>119</v>
      </c>
      <c r="B44" s="27" t="s">
        <v>17</v>
      </c>
      <c r="C44" s="28" t="s">
        <v>96</v>
      </c>
      <c r="D44" s="29" t="s">
        <v>120</v>
      </c>
      <c r="E44" s="27" t="s">
        <v>20</v>
      </c>
      <c r="F44" s="30">
        <f>((((5+6)*9.74)/2)+(((5+1)*5.37)/2)+(((1+6)*6.87)/2))</f>
        <v>93.725000000000009</v>
      </c>
      <c r="G44" s="31" t="s">
        <v>121</v>
      </c>
      <c r="H44" s="142">
        <v>36.159999999999997</v>
      </c>
      <c r="I44" s="32">
        <f t="shared" si="8"/>
        <v>3389.096</v>
      </c>
      <c r="J44" s="24">
        <v>0.28349999999999997</v>
      </c>
      <c r="K44" s="32">
        <f t="shared" si="9"/>
        <v>46.411359999999995</v>
      </c>
      <c r="L44" s="32">
        <f t="shared" si="10"/>
        <v>4349.904716</v>
      </c>
      <c r="M44" s="25">
        <f t="shared" si="11"/>
        <v>9.2044261254276248E-3</v>
      </c>
      <c r="N44" s="26"/>
      <c r="O44" s="26"/>
      <c r="P44" s="26"/>
      <c r="Q44" s="26"/>
      <c r="R44" s="26"/>
      <c r="S44" s="26"/>
      <c r="T44" s="26"/>
      <c r="U44" s="26"/>
      <c r="V44" s="26"/>
      <c r="W44" s="26"/>
      <c r="X44" s="26"/>
      <c r="Y44" s="26"/>
      <c r="Z44" s="26"/>
      <c r="AA44" s="26"/>
      <c r="AB44" s="26"/>
      <c r="AC44" s="26"/>
      <c r="AD44" s="26"/>
      <c r="AE44" s="26"/>
      <c r="AF44" s="26"/>
      <c r="AG44" s="26"/>
      <c r="AH44" s="26"/>
      <c r="AI44" s="26"/>
      <c r="AJ44" s="26"/>
      <c r="AK44" s="26"/>
      <c r="AL44" s="26"/>
      <c r="AM44" s="26"/>
      <c r="AN44" s="26"/>
      <c r="AO44" s="26"/>
      <c r="AP44" s="26"/>
      <c r="AQ44" s="26"/>
      <c r="AR44" s="26"/>
      <c r="AS44" s="26"/>
      <c r="AT44" s="26"/>
      <c r="AU44" s="26"/>
      <c r="AV44" s="26"/>
      <c r="AW44" s="26"/>
      <c r="AX44" s="26"/>
      <c r="AY44" s="26"/>
      <c r="AZ44" s="26"/>
      <c r="BA44" s="26"/>
      <c r="BB44" s="26"/>
      <c r="BC44" s="26"/>
      <c r="BD44" s="26"/>
      <c r="BE44" s="26"/>
      <c r="BF44" s="26"/>
      <c r="BG44" s="26"/>
      <c r="BH44" s="26"/>
      <c r="BI44" s="26"/>
      <c r="BJ44" s="26"/>
      <c r="BK44" s="26"/>
      <c r="BL44" s="26"/>
    </row>
    <row r="45" spans="1:64" ht="38.25">
      <c r="A45" s="17" t="s">
        <v>119</v>
      </c>
      <c r="B45" s="27" t="s">
        <v>17</v>
      </c>
      <c r="C45" s="28" t="s">
        <v>104</v>
      </c>
      <c r="D45" s="29" t="s">
        <v>105</v>
      </c>
      <c r="E45" s="27" t="s">
        <v>20</v>
      </c>
      <c r="F45" s="30">
        <f>(2*3.14*0.01*5758.81)+(2*3.14*0.016*813.21)</f>
        <v>443.3646088000001</v>
      </c>
      <c r="G45" s="31" t="s">
        <v>122</v>
      </c>
      <c r="H45" s="142">
        <v>24.06</v>
      </c>
      <c r="I45" s="32">
        <f t="shared" si="8"/>
        <v>10667.352487728002</v>
      </c>
      <c r="J45" s="24">
        <v>0.28349999999999997</v>
      </c>
      <c r="K45" s="32">
        <f t="shared" si="9"/>
        <v>30.881009999999996</v>
      </c>
      <c r="L45" s="32">
        <f t="shared" si="10"/>
        <v>13691.546917998889</v>
      </c>
      <c r="M45" s="25">
        <f t="shared" si="11"/>
        <v>2.8971400611605271E-2</v>
      </c>
      <c r="N45" s="26"/>
      <c r="O45" s="26"/>
      <c r="P45" s="26"/>
      <c r="Q45" s="26"/>
      <c r="R45" s="26"/>
      <c r="S45" s="26"/>
      <c r="T45" s="26"/>
      <c r="U45" s="26"/>
      <c r="V45" s="26"/>
      <c r="W45" s="26"/>
      <c r="X45" s="26"/>
      <c r="Y45" s="26"/>
      <c r="Z45" s="26"/>
      <c r="AA45" s="26"/>
      <c r="AB45" s="26"/>
      <c r="AC45" s="26"/>
      <c r="AD45" s="26"/>
      <c r="AE45" s="26"/>
      <c r="AF45" s="26"/>
      <c r="AG45" s="26"/>
      <c r="AH45" s="26"/>
      <c r="AI45" s="26"/>
      <c r="AJ45" s="26"/>
      <c r="AK45" s="26"/>
      <c r="AL45" s="26"/>
      <c r="AM45" s="26"/>
      <c r="AN45" s="26"/>
      <c r="AO45" s="26"/>
      <c r="AP45" s="26"/>
      <c r="AQ45" s="26"/>
      <c r="AR45" s="26"/>
      <c r="AS45" s="26"/>
      <c r="AT45" s="26"/>
      <c r="AU45" s="26"/>
      <c r="AV45" s="26"/>
      <c r="AW45" s="26"/>
      <c r="AX45" s="26"/>
      <c r="AY45" s="26"/>
      <c r="AZ45" s="26"/>
      <c r="BA45" s="26"/>
      <c r="BB45" s="26"/>
      <c r="BC45" s="26"/>
      <c r="BD45" s="26"/>
      <c r="BE45" s="26"/>
      <c r="BF45" s="26"/>
      <c r="BG45" s="26"/>
      <c r="BH45" s="26"/>
      <c r="BI45" s="26"/>
      <c r="BJ45" s="26"/>
      <c r="BK45" s="26"/>
      <c r="BL45" s="26"/>
    </row>
    <row r="46" spans="1:64" ht="20.25" customHeight="1">
      <c r="A46" s="287" t="s">
        <v>70</v>
      </c>
      <c r="B46" s="287"/>
      <c r="C46" s="287"/>
      <c r="D46" s="287"/>
      <c r="E46" s="287"/>
      <c r="F46" s="287"/>
      <c r="G46" s="287"/>
      <c r="H46" s="287"/>
      <c r="I46" s="37">
        <f>SUM(I28:I45)</f>
        <v>292011.81379983603</v>
      </c>
      <c r="J46" s="38"/>
      <c r="K46" s="37"/>
      <c r="L46" s="37">
        <f>SUM(L28:L45)</f>
        <v>374797.16301208944</v>
      </c>
      <c r="M46" s="38">
        <f>L46/M55</f>
        <v>0.79307318762074519</v>
      </c>
      <c r="N46" s="39"/>
      <c r="O46" s="39"/>
      <c r="P46" s="39"/>
      <c r="Q46" s="39"/>
      <c r="R46" s="39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  <c r="AF46" s="39"/>
      <c r="AG46" s="39"/>
      <c r="AH46" s="39"/>
      <c r="AI46" s="39"/>
      <c r="AJ46" s="39"/>
      <c r="AK46" s="39"/>
      <c r="AL46" s="39"/>
      <c r="AM46" s="39"/>
      <c r="AN46" s="39"/>
      <c r="AO46" s="39"/>
      <c r="AP46" s="39"/>
      <c r="AQ46" s="39"/>
      <c r="AR46" s="39"/>
      <c r="AS46" s="39"/>
      <c r="AT46" s="39"/>
      <c r="AU46" s="39"/>
      <c r="AV46" s="39"/>
      <c r="AW46" s="39"/>
      <c r="AX46" s="39"/>
      <c r="AY46" s="39"/>
      <c r="AZ46" s="39"/>
      <c r="BA46" s="39"/>
      <c r="BB46" s="39"/>
      <c r="BC46" s="39"/>
      <c r="BD46" s="39"/>
      <c r="BE46" s="39"/>
      <c r="BF46" s="39"/>
      <c r="BG46" s="39"/>
      <c r="BH46" s="39"/>
      <c r="BI46" s="39"/>
      <c r="BJ46" s="39"/>
      <c r="BK46" s="39"/>
      <c r="BL46" s="39"/>
    </row>
    <row r="47" spans="1:64" ht="21" customHeight="1">
      <c r="A47" s="16">
        <v>3</v>
      </c>
      <c r="B47" s="288" t="s">
        <v>123</v>
      </c>
      <c r="C47" s="288"/>
      <c r="D47" s="288"/>
      <c r="E47" s="288"/>
      <c r="F47" s="288"/>
      <c r="G47" s="288"/>
      <c r="H47" s="288"/>
      <c r="I47" s="288"/>
      <c r="J47" s="288"/>
      <c r="K47" s="288"/>
      <c r="L47" s="288"/>
      <c r="M47" s="288"/>
      <c r="N47" s="15"/>
      <c r="O47" s="15"/>
      <c r="P47" s="15"/>
      <c r="Q47" s="15"/>
      <c r="R47" s="15"/>
      <c r="S47" s="15"/>
      <c r="T47" s="15"/>
      <c r="U47" s="15"/>
      <c r="V47" s="15"/>
      <c r="W47" s="15"/>
      <c r="X47" s="15"/>
      <c r="Y47" s="15"/>
      <c r="Z47" s="15"/>
      <c r="AA47" s="15"/>
      <c r="AB47" s="15"/>
      <c r="AC47" s="15"/>
      <c r="AD47" s="15"/>
      <c r="AE47" s="15"/>
      <c r="AF47" s="15"/>
      <c r="AG47" s="15"/>
      <c r="AH47" s="15"/>
      <c r="AI47" s="15"/>
      <c r="AJ47" s="15"/>
      <c r="AK47" s="15"/>
      <c r="AL47" s="15"/>
      <c r="AM47" s="15"/>
      <c r="AN47" s="15"/>
      <c r="AO47" s="15"/>
      <c r="AP47" s="15"/>
      <c r="AQ47" s="15"/>
      <c r="AR47" s="15"/>
      <c r="AS47" s="15"/>
      <c r="AT47" s="15"/>
      <c r="AU47" s="15"/>
      <c r="AV47" s="15"/>
      <c r="AW47" s="15"/>
      <c r="AX47" s="15"/>
      <c r="AY47" s="15"/>
      <c r="AZ47" s="15"/>
      <c r="BA47" s="15"/>
      <c r="BB47" s="15"/>
      <c r="BC47" s="15"/>
      <c r="BD47" s="15"/>
      <c r="BE47" s="15"/>
      <c r="BF47" s="15"/>
      <c r="BG47" s="15"/>
      <c r="BH47" s="15"/>
      <c r="BI47" s="15"/>
      <c r="BJ47" s="15"/>
      <c r="BK47" s="15"/>
      <c r="BL47" s="15"/>
    </row>
    <row r="48" spans="1:64" ht="39.75" customHeight="1">
      <c r="A48" s="17" t="s">
        <v>124</v>
      </c>
      <c r="B48" s="27" t="s">
        <v>23</v>
      </c>
      <c r="C48" s="28" t="s">
        <v>125</v>
      </c>
      <c r="D48" s="29" t="s">
        <v>126</v>
      </c>
      <c r="E48" s="27" t="s">
        <v>89</v>
      </c>
      <c r="F48" s="30">
        <f>10.31*18</f>
        <v>185.58</v>
      </c>
      <c r="G48" s="31" t="s">
        <v>127</v>
      </c>
      <c r="H48" s="142">
        <f>'COMPOSIÇÃO PRÓPRIA '!J58</f>
        <v>167.70923499999998</v>
      </c>
      <c r="I48" s="32">
        <f>H48*F48</f>
        <v>31123.479831299999</v>
      </c>
      <c r="J48" s="24">
        <v>0.28349999999999997</v>
      </c>
      <c r="K48" s="32">
        <f>H48+(H48*J48)</f>
        <v>215.25480312249996</v>
      </c>
      <c r="L48" s="32">
        <f>K48*F48</f>
        <v>39946.986363473545</v>
      </c>
      <c r="M48" s="43">
        <f>L48/$M$55</f>
        <v>8.4528077951594602E-2</v>
      </c>
      <c r="N48" s="26"/>
      <c r="O48" s="26"/>
      <c r="P48" s="26"/>
      <c r="Q48" s="26"/>
      <c r="R48" s="26"/>
      <c r="S48" s="26"/>
      <c r="T48" s="26"/>
      <c r="U48" s="26"/>
      <c r="V48" s="26"/>
      <c r="W48" s="26"/>
      <c r="X48" s="26"/>
      <c r="Y48" s="26"/>
      <c r="Z48" s="26"/>
      <c r="AA48" s="26"/>
      <c r="AB48" s="26"/>
      <c r="AC48" s="26"/>
      <c r="AD48" s="26"/>
      <c r="AE48" s="26"/>
      <c r="AF48" s="26"/>
      <c r="AG48" s="26"/>
      <c r="AH48" s="26"/>
      <c r="AI48" s="26"/>
      <c r="AJ48" s="26"/>
      <c r="AK48" s="26"/>
      <c r="AL48" s="26"/>
      <c r="AM48" s="26"/>
      <c r="AN48" s="26"/>
      <c r="AO48" s="26"/>
      <c r="AP48" s="26"/>
      <c r="AQ48" s="26"/>
      <c r="AR48" s="26"/>
      <c r="AS48" s="26"/>
      <c r="AT48" s="26"/>
      <c r="AU48" s="26"/>
      <c r="AV48" s="26"/>
      <c r="AW48" s="26"/>
      <c r="AX48" s="26"/>
      <c r="AY48" s="26"/>
      <c r="AZ48" s="26"/>
      <c r="BA48" s="26"/>
      <c r="BB48" s="26"/>
      <c r="BC48" s="26"/>
      <c r="BD48" s="26"/>
      <c r="BE48" s="26"/>
      <c r="BF48" s="26"/>
      <c r="BG48" s="26"/>
      <c r="BH48" s="26"/>
      <c r="BI48" s="26"/>
      <c r="BJ48" s="26"/>
      <c r="BK48" s="26"/>
      <c r="BL48" s="26"/>
    </row>
    <row r="49" spans="1:64" ht="33" customHeight="1">
      <c r="A49" s="17" t="s">
        <v>128</v>
      </c>
      <c r="B49" s="27" t="s">
        <v>23</v>
      </c>
      <c r="C49" s="28" t="s">
        <v>129</v>
      </c>
      <c r="D49" s="29" t="s">
        <v>130</v>
      </c>
      <c r="E49" s="27" t="s">
        <v>89</v>
      </c>
      <c r="F49" s="30">
        <f>1.06*18</f>
        <v>19.080000000000002</v>
      </c>
      <c r="G49" s="31" t="s">
        <v>131</v>
      </c>
      <c r="H49" s="142">
        <f>'COMPOSIÇÃO PRÓPRIA '!J69</f>
        <v>60.61339499999999</v>
      </c>
      <c r="I49" s="32">
        <f>H49*F49</f>
        <v>1156.5035765999999</v>
      </c>
      <c r="J49" s="24">
        <v>0.28349999999999997</v>
      </c>
      <c r="K49" s="32">
        <f>H49+(H49*J49)</f>
        <v>77.797292482499984</v>
      </c>
      <c r="L49" s="32">
        <f>K49*F49</f>
        <v>1484.3723405660999</v>
      </c>
      <c r="M49" s="43">
        <f>L49/$M$55</f>
        <v>3.1409413408789622E-3</v>
      </c>
      <c r="N49" s="26"/>
      <c r="O49" s="26"/>
      <c r="P49" s="26"/>
      <c r="Q49" s="26"/>
      <c r="R49" s="26"/>
      <c r="S49" s="26"/>
      <c r="T49" s="26"/>
      <c r="U49" s="26"/>
      <c r="V49" s="26"/>
      <c r="W49" s="26"/>
      <c r="X49" s="26"/>
      <c r="Y49" s="26"/>
      <c r="Z49" s="26"/>
      <c r="AA49" s="26"/>
      <c r="AB49" s="26"/>
      <c r="AC49" s="26"/>
      <c r="AD49" s="26"/>
      <c r="AE49" s="26"/>
      <c r="AF49" s="26"/>
      <c r="AG49" s="26"/>
      <c r="AH49" s="26"/>
      <c r="AI49" s="26"/>
      <c r="AJ49" s="26"/>
      <c r="AK49" s="26"/>
      <c r="AL49" s="26"/>
      <c r="AM49" s="26"/>
      <c r="AN49" s="26"/>
      <c r="AO49" s="26"/>
      <c r="AP49" s="26"/>
      <c r="AQ49" s="26"/>
      <c r="AR49" s="26"/>
      <c r="AS49" s="26"/>
      <c r="AT49" s="26"/>
      <c r="AU49" s="26"/>
      <c r="AV49" s="26"/>
      <c r="AW49" s="26"/>
      <c r="AX49" s="26"/>
      <c r="AY49" s="26"/>
      <c r="AZ49" s="26"/>
      <c r="BA49" s="26"/>
      <c r="BB49" s="26"/>
      <c r="BC49" s="26"/>
      <c r="BD49" s="26"/>
      <c r="BE49" s="26"/>
      <c r="BF49" s="26"/>
      <c r="BG49" s="26"/>
      <c r="BH49" s="26"/>
      <c r="BI49" s="26"/>
      <c r="BJ49" s="26"/>
      <c r="BK49" s="26"/>
      <c r="BL49" s="26"/>
    </row>
    <row r="50" spans="1:64" ht="25.5">
      <c r="A50" s="17" t="s">
        <v>132</v>
      </c>
      <c r="B50" s="27" t="s">
        <v>17</v>
      </c>
      <c r="C50" s="28" t="s">
        <v>133</v>
      </c>
      <c r="D50" s="29" t="s">
        <v>134</v>
      </c>
      <c r="E50" s="27" t="s">
        <v>89</v>
      </c>
      <c r="F50" s="30">
        <f>(11.67+10.01+9.06+5.11+9.08+6.5)</f>
        <v>51.43</v>
      </c>
      <c r="G50" s="31" t="s">
        <v>135</v>
      </c>
      <c r="H50" s="142">
        <v>44.1</v>
      </c>
      <c r="I50" s="32">
        <f>H50*F50</f>
        <v>2268.0630000000001</v>
      </c>
      <c r="J50" s="24">
        <v>0.28349999999999997</v>
      </c>
      <c r="K50" s="32">
        <f>H50+(H50*J50)</f>
        <v>56.602350000000001</v>
      </c>
      <c r="L50" s="32">
        <f>K50*F50</f>
        <v>2911.0588605000003</v>
      </c>
      <c r="M50" s="43">
        <f>L50/$M$55</f>
        <v>6.1598191173444948E-3</v>
      </c>
      <c r="N50" s="26"/>
      <c r="O50" s="26"/>
      <c r="P50" s="26"/>
      <c r="Q50" s="26"/>
      <c r="R50" s="26"/>
      <c r="S50" s="26"/>
      <c r="T50" s="26"/>
      <c r="U50" s="26"/>
      <c r="V50" s="26"/>
      <c r="W50" s="26"/>
      <c r="X50" s="26"/>
      <c r="Y50" s="26"/>
      <c r="Z50" s="26"/>
      <c r="AA50" s="26"/>
      <c r="AB50" s="26"/>
      <c r="AC50" s="26"/>
      <c r="AD50" s="26"/>
      <c r="AE50" s="26"/>
      <c r="AF50" s="26"/>
      <c r="AG50" s="26"/>
      <c r="AH50" s="26"/>
      <c r="AI50" s="26"/>
      <c r="AJ50" s="26"/>
      <c r="AK50" s="26"/>
      <c r="AL50" s="26"/>
      <c r="AM50" s="26"/>
      <c r="AN50" s="26"/>
      <c r="AO50" s="26"/>
      <c r="AP50" s="26"/>
      <c r="AQ50" s="26"/>
      <c r="AR50" s="26"/>
      <c r="AS50" s="26"/>
      <c r="AT50" s="26"/>
      <c r="AU50" s="26"/>
      <c r="AV50" s="26"/>
      <c r="AW50" s="26"/>
      <c r="AX50" s="26"/>
      <c r="AY50" s="26"/>
      <c r="AZ50" s="26"/>
      <c r="BA50" s="26"/>
      <c r="BB50" s="26"/>
      <c r="BC50" s="26"/>
      <c r="BD50" s="26"/>
      <c r="BE50" s="26"/>
      <c r="BF50" s="26"/>
      <c r="BG50" s="26"/>
      <c r="BH50" s="26"/>
      <c r="BI50" s="26"/>
      <c r="BJ50" s="26"/>
      <c r="BK50" s="26"/>
      <c r="BL50" s="26"/>
    </row>
    <row r="51" spans="1:64" ht="51.75" thickBot="1">
      <c r="A51" s="132" t="s">
        <v>136</v>
      </c>
      <c r="B51" s="27" t="s">
        <v>17</v>
      </c>
      <c r="C51" s="28" t="s">
        <v>137</v>
      </c>
      <c r="D51" s="29" t="s">
        <v>138</v>
      </c>
      <c r="E51" s="27" t="s">
        <v>139</v>
      </c>
      <c r="F51" s="30">
        <v>4</v>
      </c>
      <c r="G51" s="31" t="s">
        <v>140</v>
      </c>
      <c r="H51" s="142">
        <v>271.04000000000002</v>
      </c>
      <c r="I51" s="32">
        <f>H51*F51</f>
        <v>1084.1600000000001</v>
      </c>
      <c r="J51" s="24">
        <v>0.28349999999999997</v>
      </c>
      <c r="K51" s="32">
        <f>H51+(H51*J51)</f>
        <v>347.87984</v>
      </c>
      <c r="L51" s="32">
        <f>K51*F51</f>
        <v>1391.51936</v>
      </c>
      <c r="M51" s="43">
        <f>L51/$M$55</f>
        <v>2.9444638417275917E-3</v>
      </c>
      <c r="N51" s="26"/>
      <c r="O51" s="26"/>
      <c r="P51" s="26"/>
      <c r="Q51" s="26"/>
      <c r="R51" s="26"/>
      <c r="S51" s="26"/>
      <c r="T51" s="26"/>
      <c r="U51" s="26"/>
      <c r="V51" s="26"/>
      <c r="W51" s="26"/>
      <c r="X51" s="26"/>
      <c r="Y51" s="26"/>
      <c r="Z51" s="26"/>
      <c r="AA51" s="26"/>
      <c r="AB51" s="26"/>
      <c r="AC51" s="26"/>
      <c r="AD51" s="26"/>
      <c r="AE51" s="26"/>
      <c r="AF51" s="26"/>
      <c r="AG51" s="26"/>
      <c r="AH51" s="26"/>
      <c r="AI51" s="26"/>
      <c r="AJ51" s="26"/>
      <c r="AK51" s="26"/>
      <c r="AL51" s="26"/>
      <c r="AM51" s="26"/>
      <c r="AN51" s="26"/>
      <c r="AO51" s="26"/>
      <c r="AP51" s="26"/>
      <c r="AQ51" s="26"/>
      <c r="AR51" s="26"/>
      <c r="AS51" s="26"/>
      <c r="AT51" s="26"/>
      <c r="AU51" s="26"/>
      <c r="AV51" s="26"/>
      <c r="AW51" s="26"/>
      <c r="AX51" s="26"/>
      <c r="AY51" s="26"/>
      <c r="AZ51" s="26"/>
      <c r="BA51" s="26"/>
      <c r="BB51" s="26"/>
      <c r="BC51" s="26"/>
      <c r="BD51" s="26"/>
      <c r="BE51" s="26"/>
      <c r="BF51" s="26"/>
      <c r="BG51" s="26"/>
      <c r="BH51" s="26"/>
      <c r="BI51" s="26"/>
      <c r="BJ51" s="26"/>
      <c r="BK51" s="26"/>
      <c r="BL51" s="26"/>
    </row>
    <row r="52" spans="1:64" ht="22.5" customHeight="1" thickBot="1">
      <c r="A52" s="284" t="s">
        <v>70</v>
      </c>
      <c r="B52" s="289"/>
      <c r="C52" s="289"/>
      <c r="D52" s="289"/>
      <c r="E52" s="289"/>
      <c r="F52" s="289"/>
      <c r="G52" s="289"/>
      <c r="H52" s="289"/>
      <c r="I52" s="259">
        <f>SUM(I48:I51)</f>
        <v>35632.206407900005</v>
      </c>
      <c r="J52" s="260"/>
      <c r="K52" s="259"/>
      <c r="L52" s="259">
        <f>SUM(L48:L51)</f>
        <v>45733.936924539645</v>
      </c>
      <c r="M52" s="263">
        <f>L52/$M$55</f>
        <v>9.6773302251545651E-2</v>
      </c>
      <c r="N52" s="39"/>
      <c r="O52" s="39"/>
      <c r="P52" s="39"/>
      <c r="Q52" s="39"/>
      <c r="R52" s="39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  <c r="AF52" s="39"/>
      <c r="AG52" s="39"/>
      <c r="AH52" s="39"/>
      <c r="AI52" s="39"/>
      <c r="AJ52" s="39"/>
      <c r="AK52" s="39"/>
      <c r="AL52" s="39"/>
      <c r="AM52" s="39"/>
      <c r="AN52" s="39"/>
      <c r="AO52" s="39"/>
      <c r="AP52" s="39"/>
      <c r="AQ52" s="39"/>
      <c r="AR52" s="39"/>
      <c r="AS52" s="39"/>
      <c r="AT52" s="39"/>
      <c r="AU52" s="39"/>
      <c r="AV52" s="39"/>
      <c r="AW52" s="39"/>
      <c r="AX52" s="39"/>
      <c r="AY52" s="39"/>
      <c r="AZ52" s="39"/>
      <c r="BA52" s="39"/>
      <c r="BB52" s="39"/>
      <c r="BC52" s="39"/>
      <c r="BD52" s="39"/>
      <c r="BE52" s="39"/>
      <c r="BF52" s="39"/>
      <c r="BG52" s="39"/>
      <c r="BH52" s="39"/>
      <c r="BI52" s="39"/>
      <c r="BJ52" s="39"/>
      <c r="BK52" s="39"/>
      <c r="BL52" s="39"/>
    </row>
    <row r="53" spans="1:64" ht="29.25" customHeight="1" thickBot="1">
      <c r="A53" s="279" t="s">
        <v>141</v>
      </c>
      <c r="B53" s="279"/>
      <c r="C53" s="279"/>
      <c r="D53" s="279"/>
      <c r="E53" s="279"/>
      <c r="F53" s="279"/>
      <c r="G53" s="279"/>
      <c r="H53" s="279"/>
      <c r="I53" s="279"/>
      <c r="J53" s="279"/>
      <c r="K53" s="279"/>
      <c r="L53" s="279"/>
      <c r="M53" s="262">
        <f>I52+I46+I26</f>
        <v>368202.85738808603</v>
      </c>
      <c r="N53" s="39"/>
      <c r="O53" s="39"/>
      <c r="P53" s="39"/>
      <c r="Q53" s="39"/>
      <c r="R53" s="39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  <c r="AF53" s="39"/>
      <c r="AG53" s="39"/>
      <c r="AH53" s="39"/>
      <c r="AI53" s="39"/>
      <c r="AJ53" s="39"/>
      <c r="AK53" s="39"/>
      <c r="AL53" s="39"/>
      <c r="AM53" s="39"/>
      <c r="AN53" s="39"/>
      <c r="AO53" s="39"/>
      <c r="AP53" s="39"/>
      <c r="AQ53" s="39"/>
      <c r="AR53" s="39"/>
      <c r="AS53" s="39"/>
      <c r="AT53" s="39"/>
      <c r="AU53" s="39"/>
      <c r="AV53" s="39"/>
      <c r="AW53" s="39"/>
      <c r="AX53" s="39"/>
      <c r="AY53" s="39"/>
      <c r="AZ53" s="39"/>
      <c r="BA53" s="39"/>
      <c r="BB53" s="39"/>
      <c r="BC53" s="39"/>
      <c r="BD53" s="39"/>
      <c r="BE53" s="39"/>
      <c r="BF53" s="39"/>
      <c r="BG53" s="39"/>
      <c r="BH53" s="39"/>
      <c r="BI53" s="39"/>
      <c r="BJ53" s="39"/>
      <c r="BK53" s="39"/>
      <c r="BL53" s="39"/>
    </row>
    <row r="54" spans="1:64" ht="25.5" customHeight="1" thickBot="1">
      <c r="A54" s="280" t="s">
        <v>142</v>
      </c>
      <c r="B54" s="280"/>
      <c r="C54" s="280"/>
      <c r="D54" s="280"/>
      <c r="E54" s="280"/>
      <c r="F54" s="280"/>
      <c r="G54" s="280"/>
      <c r="H54" s="280"/>
      <c r="I54" s="280"/>
      <c r="J54" s="280"/>
      <c r="K54" s="280"/>
      <c r="L54" s="280"/>
      <c r="M54" s="44">
        <f>(L52+L46+L26)-(I52+I46+I26)</f>
        <v>104385.51006952225</v>
      </c>
      <c r="N54" s="39"/>
      <c r="O54" s="39"/>
      <c r="P54" s="39"/>
      <c r="Q54" s="39"/>
      <c r="R54" s="39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  <c r="AF54" s="39"/>
      <c r="AG54" s="39"/>
      <c r="AH54" s="39"/>
      <c r="AI54" s="39"/>
      <c r="AJ54" s="39"/>
      <c r="AK54" s="39"/>
      <c r="AL54" s="39"/>
      <c r="AM54" s="39"/>
      <c r="AN54" s="39"/>
      <c r="AO54" s="39"/>
      <c r="AP54" s="39"/>
      <c r="AQ54" s="39"/>
      <c r="AR54" s="39"/>
      <c r="AS54" s="39"/>
      <c r="AT54" s="39"/>
      <c r="AU54" s="39"/>
      <c r="AV54" s="39"/>
      <c r="AW54" s="39"/>
      <c r="AX54" s="39"/>
      <c r="AY54" s="39"/>
      <c r="AZ54" s="39"/>
      <c r="BA54" s="39"/>
      <c r="BB54" s="39"/>
      <c r="BC54" s="39"/>
      <c r="BD54" s="39"/>
      <c r="BE54" s="39"/>
      <c r="BF54" s="39"/>
      <c r="BG54" s="39"/>
      <c r="BH54" s="39"/>
      <c r="BI54" s="39"/>
      <c r="BJ54" s="39"/>
      <c r="BK54" s="39"/>
      <c r="BL54" s="39"/>
    </row>
    <row r="55" spans="1:64" ht="22.5" customHeight="1">
      <c r="A55" s="281" t="s">
        <v>143</v>
      </c>
      <c r="B55" s="281"/>
      <c r="C55" s="281"/>
      <c r="D55" s="281"/>
      <c r="E55" s="281"/>
      <c r="F55" s="281"/>
      <c r="G55" s="281"/>
      <c r="H55" s="281"/>
      <c r="I55" s="281"/>
      <c r="J55" s="281"/>
      <c r="K55" s="281"/>
      <c r="L55" s="281"/>
      <c r="M55" s="45">
        <f>M53+M54</f>
        <v>472588.36745760828</v>
      </c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  <c r="AA55" s="15"/>
      <c r="AB55" s="15"/>
      <c r="AC55" s="15"/>
      <c r="AD55" s="15"/>
      <c r="AE55" s="15"/>
      <c r="AF55" s="15"/>
      <c r="AG55" s="15"/>
      <c r="AH55" s="15"/>
      <c r="AI55" s="15"/>
      <c r="AJ55" s="15"/>
      <c r="AK55" s="15"/>
      <c r="AL55" s="15"/>
      <c r="AM55" s="15"/>
      <c r="AN55" s="15"/>
      <c r="AO55" s="15"/>
      <c r="AP55" s="15"/>
      <c r="AQ55" s="15"/>
      <c r="AR55" s="15"/>
      <c r="AS55" s="15"/>
      <c r="AT55" s="15"/>
      <c r="AU55" s="15"/>
      <c r="AV55" s="15"/>
      <c r="AW55" s="15"/>
      <c r="AX55" s="15"/>
      <c r="AY55" s="15"/>
      <c r="AZ55" s="15"/>
      <c r="BA55" s="15"/>
      <c r="BB55" s="15"/>
      <c r="BC55" s="15"/>
      <c r="BD55" s="15"/>
      <c r="BE55" s="15"/>
      <c r="BF55" s="15"/>
      <c r="BG55" s="15"/>
      <c r="BH55" s="15"/>
      <c r="BI55" s="15"/>
      <c r="BJ55" s="15"/>
      <c r="BK55" s="15"/>
      <c r="BL55" s="15"/>
    </row>
    <row r="56" spans="1:64" ht="112.5" customHeight="1">
      <c r="A56" s="282" t="s">
        <v>144</v>
      </c>
      <c r="B56" s="282"/>
      <c r="C56" s="282"/>
      <c r="D56" s="282"/>
      <c r="E56" s="282"/>
      <c r="F56" s="282"/>
      <c r="G56" s="282"/>
      <c r="H56" s="282"/>
      <c r="I56" s="282"/>
      <c r="J56" s="282"/>
      <c r="K56" s="282"/>
      <c r="L56" s="282"/>
      <c r="M56" s="282"/>
    </row>
    <row r="57" spans="1:64">
      <c r="A57" s="283"/>
      <c r="B57" s="283"/>
      <c r="C57" s="283"/>
      <c r="D57" s="283"/>
      <c r="E57" s="283"/>
      <c r="F57" s="283"/>
      <c r="G57" s="283"/>
      <c r="H57" s="283"/>
      <c r="I57" s="283"/>
      <c r="J57" s="283"/>
      <c r="K57" s="283"/>
      <c r="L57" s="283"/>
      <c r="M57" s="283"/>
    </row>
  </sheetData>
  <mergeCells count="15">
    <mergeCell ref="A1:C4"/>
    <mergeCell ref="D1:M4"/>
    <mergeCell ref="A5:M10"/>
    <mergeCell ref="A11:M11"/>
    <mergeCell ref="B13:M13"/>
    <mergeCell ref="A26:H26"/>
    <mergeCell ref="B27:M27"/>
    <mergeCell ref="A46:H46"/>
    <mergeCell ref="B47:M47"/>
    <mergeCell ref="A52:H52"/>
    <mergeCell ref="A53:L53"/>
    <mergeCell ref="A54:L54"/>
    <mergeCell ref="A55:L55"/>
    <mergeCell ref="A56:M56"/>
    <mergeCell ref="A57:M57"/>
  </mergeCells>
  <pageMargins left="0.51180555555555496" right="0.51180555555555496" top="0.78749999999999998" bottom="0.59027777777777801" header="0.51180555555555496" footer="0.51180555555555496"/>
  <pageSetup paperSize="9" scale="18" firstPageNumber="0" fitToHeight="0" orientation="landscape" horizontalDpi="300" verticalDpi="3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C3:N32"/>
  <sheetViews>
    <sheetView showGridLines="0" zoomScale="90" zoomScaleNormal="90" workbookViewId="0">
      <selection activeCell="E35" sqref="E35"/>
    </sheetView>
  </sheetViews>
  <sheetFormatPr defaultColWidth="7.875" defaultRowHeight="14.25"/>
  <cols>
    <col min="5" max="5" width="37.5" customWidth="1"/>
    <col min="6" max="6" width="9.625" customWidth="1"/>
    <col min="7" max="12" width="9.625" bestFit="1" customWidth="1"/>
    <col min="13" max="13" width="10.25" customWidth="1"/>
    <col min="14" max="14" width="14" customWidth="1"/>
    <col min="1013" max="1024" width="10.5" customWidth="1"/>
  </cols>
  <sheetData>
    <row r="3" spans="3:14" ht="34.9" customHeight="1">
      <c r="C3" s="310"/>
      <c r="D3" s="311" t="s">
        <v>145</v>
      </c>
      <c r="E3" s="311"/>
      <c r="F3" s="311"/>
      <c r="G3" s="311"/>
      <c r="H3" s="311"/>
      <c r="I3" s="311"/>
      <c r="J3" s="311"/>
      <c r="K3" s="311"/>
      <c r="L3" s="311"/>
      <c r="M3" s="311"/>
      <c r="N3" s="311"/>
    </row>
    <row r="4" spans="3:14">
      <c r="C4" s="310"/>
      <c r="D4" s="311"/>
      <c r="E4" s="311"/>
      <c r="F4" s="311"/>
      <c r="G4" s="311"/>
      <c r="H4" s="311"/>
      <c r="I4" s="311"/>
      <c r="J4" s="311"/>
      <c r="K4" s="311"/>
      <c r="L4" s="311"/>
      <c r="M4" s="311"/>
      <c r="N4" s="311"/>
    </row>
    <row r="5" spans="3:14" ht="15.75" customHeight="1">
      <c r="C5" s="46"/>
      <c r="D5" s="312"/>
      <c r="E5" s="312"/>
      <c r="F5" s="313" t="s">
        <v>146</v>
      </c>
      <c r="G5" s="313"/>
      <c r="H5" s="313"/>
      <c r="I5" s="313"/>
      <c r="J5" s="314" t="s">
        <v>147</v>
      </c>
      <c r="K5" s="314"/>
      <c r="L5" s="314"/>
      <c r="M5" s="314"/>
      <c r="N5" s="315" t="s">
        <v>148</v>
      </c>
    </row>
    <row r="6" spans="3:14">
      <c r="C6" s="46"/>
      <c r="D6" s="312"/>
      <c r="E6" s="312"/>
      <c r="F6" s="47" t="s">
        <v>149</v>
      </c>
      <c r="G6" s="48" t="s">
        <v>150</v>
      </c>
      <c r="H6" s="48" t="s">
        <v>151</v>
      </c>
      <c r="I6" s="49" t="s">
        <v>152</v>
      </c>
      <c r="J6" s="50" t="s">
        <v>149</v>
      </c>
      <c r="K6" s="48" t="s">
        <v>150</v>
      </c>
      <c r="L6" s="48" t="s">
        <v>151</v>
      </c>
      <c r="M6" s="51" t="s">
        <v>152</v>
      </c>
      <c r="N6" s="315"/>
    </row>
    <row r="7" spans="3:14" ht="15.75">
      <c r="C7" s="46"/>
      <c r="D7" s="52" t="s">
        <v>2</v>
      </c>
      <c r="E7" s="53" t="s">
        <v>153</v>
      </c>
      <c r="F7" s="54"/>
      <c r="G7" s="55"/>
      <c r="H7" s="55"/>
      <c r="I7" s="56"/>
      <c r="J7" s="57"/>
      <c r="K7" s="57"/>
      <c r="L7" s="58"/>
      <c r="M7" s="58"/>
      <c r="N7" s="315"/>
    </row>
    <row r="8" spans="3:14">
      <c r="C8" s="59"/>
      <c r="D8" s="60"/>
      <c r="E8" s="61"/>
      <c r="F8" s="62"/>
      <c r="G8" s="63"/>
      <c r="H8" s="63"/>
      <c r="I8" s="64"/>
      <c r="J8" s="65"/>
      <c r="K8" s="65"/>
      <c r="L8" s="66"/>
      <c r="M8" s="66"/>
      <c r="N8" s="315"/>
    </row>
    <row r="9" spans="3:14" ht="15" customHeight="1">
      <c r="C9" s="303"/>
      <c r="D9" s="304">
        <v>1</v>
      </c>
      <c r="E9" s="305" t="s">
        <v>154</v>
      </c>
      <c r="F9" s="67">
        <v>0.45</v>
      </c>
      <c r="G9" s="68">
        <v>0.45</v>
      </c>
      <c r="H9" s="68">
        <v>0</v>
      </c>
      <c r="I9" s="69">
        <v>0</v>
      </c>
      <c r="J9" s="70">
        <v>0</v>
      </c>
      <c r="K9" s="68">
        <v>0</v>
      </c>
      <c r="L9" s="68">
        <v>0</v>
      </c>
      <c r="M9" s="71">
        <v>0.1</v>
      </c>
      <c r="N9" s="72">
        <f>SUM(F9:M9)</f>
        <v>1</v>
      </c>
    </row>
    <row r="10" spans="3:14">
      <c r="C10" s="303"/>
      <c r="D10" s="304"/>
      <c r="E10" s="305"/>
      <c r="F10" s="73"/>
      <c r="G10" s="74"/>
      <c r="H10" s="75"/>
      <c r="I10" s="76"/>
      <c r="J10" s="77"/>
      <c r="K10" s="75"/>
      <c r="L10" s="75"/>
      <c r="M10" s="78"/>
      <c r="N10" s="46"/>
    </row>
    <row r="11" spans="3:14">
      <c r="C11" s="303"/>
      <c r="D11" s="304"/>
      <c r="E11" s="305"/>
      <c r="F11" s="79">
        <f t="shared" ref="F11:M11" si="0">F9*$N$11</f>
        <v>23425.77038444065</v>
      </c>
      <c r="G11" s="80">
        <f t="shared" si="0"/>
        <v>23425.77038444065</v>
      </c>
      <c r="H11" s="80">
        <f t="shared" si="0"/>
        <v>0</v>
      </c>
      <c r="I11" s="81">
        <f t="shared" si="0"/>
        <v>0</v>
      </c>
      <c r="J11" s="82">
        <f t="shared" si="0"/>
        <v>0</v>
      </c>
      <c r="K11" s="80">
        <f t="shared" si="0"/>
        <v>0</v>
      </c>
      <c r="L11" s="80">
        <f t="shared" si="0"/>
        <v>0</v>
      </c>
      <c r="M11" s="83">
        <f t="shared" si="0"/>
        <v>5205.7267520979221</v>
      </c>
      <c r="N11" s="84">
        <f>'PLANILHA ORÇAMENTÁRIA'!L26</f>
        <v>52057.267520979221</v>
      </c>
    </row>
    <row r="12" spans="3:14" ht="15">
      <c r="C12" s="303"/>
      <c r="D12" s="306">
        <v>2</v>
      </c>
      <c r="E12" s="307" t="s">
        <v>155</v>
      </c>
      <c r="F12" s="85">
        <v>0.1</v>
      </c>
      <c r="G12" s="86">
        <v>0.1</v>
      </c>
      <c r="H12" s="86">
        <v>0.2</v>
      </c>
      <c r="I12" s="87">
        <v>0.2</v>
      </c>
      <c r="J12" s="85">
        <v>0.1</v>
      </c>
      <c r="K12" s="86">
        <v>0.1</v>
      </c>
      <c r="L12" s="86">
        <v>0.1</v>
      </c>
      <c r="M12" s="88">
        <v>0.1</v>
      </c>
      <c r="N12" s="72">
        <f>SUM(F12:M12)</f>
        <v>1</v>
      </c>
    </row>
    <row r="13" spans="3:14">
      <c r="C13" s="303"/>
      <c r="D13" s="306"/>
      <c r="E13" s="307"/>
      <c r="F13" s="77"/>
      <c r="G13" s="75"/>
      <c r="H13" s="74"/>
      <c r="I13" s="89"/>
      <c r="J13" s="90"/>
      <c r="K13" s="74"/>
      <c r="L13" s="74"/>
      <c r="M13" s="91"/>
      <c r="N13" s="46"/>
    </row>
    <row r="14" spans="3:14">
      <c r="C14" s="303"/>
      <c r="D14" s="306"/>
      <c r="E14" s="307"/>
      <c r="F14" s="92">
        <f>F12*$N$14</f>
        <v>37479.716301208944</v>
      </c>
      <c r="G14" s="93">
        <f>G12*$N$14</f>
        <v>37479.716301208944</v>
      </c>
      <c r="H14" s="93">
        <f>$H$12*N$14</f>
        <v>74959.432602417888</v>
      </c>
      <c r="I14" s="94">
        <f>I12*$N$14</f>
        <v>74959.432602417888</v>
      </c>
      <c r="J14" s="92">
        <f>J12*$N$14</f>
        <v>37479.716301208944</v>
      </c>
      <c r="K14" s="93">
        <f>K12*$N$14</f>
        <v>37479.716301208944</v>
      </c>
      <c r="L14" s="93">
        <f>L12*$N$14</f>
        <v>37479.716301208944</v>
      </c>
      <c r="M14" s="95">
        <f>M12*$N$14</f>
        <v>37479.716301208944</v>
      </c>
      <c r="N14" s="84">
        <f>'PLANILHA ORÇAMENTÁRIA'!L46</f>
        <v>374797.16301208944</v>
      </c>
    </row>
    <row r="15" spans="3:14" ht="15">
      <c r="C15" s="303"/>
      <c r="D15" s="308">
        <v>3</v>
      </c>
      <c r="E15" s="309" t="s">
        <v>123</v>
      </c>
      <c r="F15" s="67">
        <v>0</v>
      </c>
      <c r="G15" s="68">
        <v>0</v>
      </c>
      <c r="H15" s="68">
        <v>0</v>
      </c>
      <c r="I15" s="69">
        <v>0.1</v>
      </c>
      <c r="J15" s="70">
        <v>0.3</v>
      </c>
      <c r="K15" s="68">
        <v>0.3</v>
      </c>
      <c r="L15" s="68">
        <v>0.3</v>
      </c>
      <c r="M15" s="71">
        <v>0</v>
      </c>
      <c r="N15" s="72">
        <f>SUM(F15:M15)</f>
        <v>1</v>
      </c>
    </row>
    <row r="16" spans="3:14">
      <c r="C16" s="303"/>
      <c r="D16" s="308"/>
      <c r="E16" s="309"/>
      <c r="F16" s="96"/>
      <c r="G16" s="75"/>
      <c r="H16" s="75"/>
      <c r="I16" s="76"/>
      <c r="J16" s="77"/>
      <c r="K16" s="75"/>
      <c r="L16" s="75"/>
      <c r="M16" s="78"/>
      <c r="N16" s="97"/>
    </row>
    <row r="17" spans="3:14">
      <c r="C17" s="303"/>
      <c r="D17" s="308"/>
      <c r="E17" s="309"/>
      <c r="F17" s="79">
        <f t="shared" ref="F17:M17" si="1">F15*$N$17</f>
        <v>0</v>
      </c>
      <c r="G17" s="80">
        <f t="shared" si="1"/>
        <v>0</v>
      </c>
      <c r="H17" s="80">
        <f t="shared" si="1"/>
        <v>0</v>
      </c>
      <c r="I17" s="81">
        <f t="shared" si="1"/>
        <v>4573.3936924539648</v>
      </c>
      <c r="J17" s="82">
        <f t="shared" si="1"/>
        <v>13720.181077361893</v>
      </c>
      <c r="K17" s="80">
        <f t="shared" si="1"/>
        <v>13720.181077361893</v>
      </c>
      <c r="L17" s="80">
        <f t="shared" si="1"/>
        <v>13720.181077361893</v>
      </c>
      <c r="M17" s="83">
        <f t="shared" si="1"/>
        <v>0</v>
      </c>
      <c r="N17" s="84">
        <f>'PLANILHA ORÇAMENTÁRIA'!L52</f>
        <v>45733.936924539645</v>
      </c>
    </row>
    <row r="18" spans="3:14" ht="15">
      <c r="C18" s="98"/>
      <c r="D18" s="99" t="s">
        <v>156</v>
      </c>
      <c r="E18" s="100"/>
      <c r="F18" s="296">
        <f>I11+H11+G11+F11+F14+G14+H14+I14+I17+H17+G17+F17</f>
        <v>276303.23226858897</v>
      </c>
      <c r="G18" s="296"/>
      <c r="H18" s="296"/>
      <c r="I18" s="296"/>
      <c r="J18" s="297">
        <f>M11+L11+K11+J11+J14+K14+L14+M14+M17+L17+K17+J17</f>
        <v>196285.13518901938</v>
      </c>
      <c r="K18" s="297"/>
      <c r="L18" s="297"/>
      <c r="M18" s="297"/>
      <c r="N18" s="298">
        <f>N17+N14+N11- TAD!L20</f>
        <v>411000.54407760827</v>
      </c>
    </row>
    <row r="19" spans="3:14" ht="15">
      <c r="C19" s="101"/>
      <c r="D19" s="102" t="s">
        <v>157</v>
      </c>
      <c r="E19" s="163">
        <f>TAD!L22</f>
        <v>0.13032022711715285</v>
      </c>
      <c r="F19" s="299">
        <f>F18*E19</f>
        <v>36007.899982445953</v>
      </c>
      <c r="G19" s="299"/>
      <c r="H19" s="299"/>
      <c r="I19" s="299"/>
      <c r="J19" s="300">
        <f>J18*E19</f>
        <v>25579.923397554056</v>
      </c>
      <c r="K19" s="300"/>
      <c r="L19" s="300"/>
      <c r="M19" s="300"/>
      <c r="N19" s="298"/>
    </row>
    <row r="20" spans="3:14">
      <c r="C20" s="101"/>
      <c r="D20" s="103" t="s">
        <v>158</v>
      </c>
      <c r="E20" s="104"/>
      <c r="F20" s="301">
        <f>F18+F19</f>
        <v>312311.1322510349</v>
      </c>
      <c r="G20" s="301"/>
      <c r="H20" s="301"/>
      <c r="I20" s="301"/>
      <c r="J20" s="302">
        <f>F20+J18+J19</f>
        <v>534176.1908376083</v>
      </c>
      <c r="K20" s="302"/>
      <c r="L20" s="302"/>
      <c r="M20" s="302"/>
      <c r="N20" s="298"/>
    </row>
    <row r="21" spans="3:14">
      <c r="C21" s="101"/>
      <c r="D21" s="36"/>
      <c r="E21" s="105"/>
      <c r="F21" s="36"/>
      <c r="G21" s="36"/>
      <c r="H21" s="36"/>
      <c r="I21" s="36"/>
      <c r="J21" s="36"/>
      <c r="K21" s="36"/>
      <c r="L21" s="36"/>
      <c r="M21" s="36"/>
      <c r="N21" s="106"/>
    </row>
    <row r="22" spans="3:14">
      <c r="C22" s="101"/>
      <c r="D22" s="36"/>
      <c r="E22" s="105"/>
      <c r="F22" s="36"/>
      <c r="G22" s="36"/>
      <c r="H22" s="36"/>
      <c r="I22" s="36"/>
      <c r="J22" s="36"/>
      <c r="K22" s="36"/>
      <c r="L22" s="36"/>
      <c r="M22" s="36"/>
      <c r="N22" s="106"/>
    </row>
    <row r="23" spans="3:14">
      <c r="C23" s="101"/>
      <c r="D23" s="36"/>
      <c r="E23" s="294" t="s">
        <v>262</v>
      </c>
      <c r="F23" s="294"/>
      <c r="G23" s="294"/>
      <c r="H23" s="294"/>
      <c r="I23" s="294"/>
      <c r="J23" s="107"/>
      <c r="K23" s="107"/>
      <c r="L23" s="107"/>
      <c r="M23" s="107"/>
      <c r="N23" s="106"/>
    </row>
    <row r="24" spans="3:14">
      <c r="C24" s="101"/>
      <c r="D24" s="36"/>
      <c r="E24" s="108"/>
      <c r="F24" s="36"/>
      <c r="G24" s="36"/>
      <c r="H24" s="36"/>
      <c r="I24" s="36"/>
      <c r="J24" s="36"/>
      <c r="K24" s="36"/>
      <c r="L24" s="36"/>
      <c r="M24" s="36"/>
      <c r="N24" s="106"/>
    </row>
    <row r="25" spans="3:14">
      <c r="C25" s="101"/>
      <c r="D25" s="36"/>
      <c r="E25" s="108"/>
      <c r="F25" s="36"/>
      <c r="G25" s="36"/>
      <c r="H25" s="36"/>
      <c r="I25" s="36"/>
      <c r="J25" s="36"/>
      <c r="K25" s="36"/>
      <c r="L25" s="36"/>
      <c r="M25" s="36"/>
      <c r="N25" s="106"/>
    </row>
    <row r="26" spans="3:14">
      <c r="C26" s="101"/>
      <c r="D26" s="36"/>
      <c r="E26" s="108"/>
      <c r="F26" s="36"/>
      <c r="G26" s="36"/>
      <c r="H26" s="36"/>
      <c r="I26" s="36"/>
      <c r="J26" s="36"/>
      <c r="K26" s="36"/>
      <c r="L26" s="36"/>
      <c r="M26" s="36"/>
      <c r="N26" s="106"/>
    </row>
    <row r="27" spans="3:14">
      <c r="C27" s="101"/>
      <c r="D27" s="36"/>
      <c r="E27" s="108"/>
      <c r="F27" s="36"/>
      <c r="G27" s="36"/>
      <c r="H27" s="36"/>
      <c r="I27" s="36"/>
      <c r="J27" s="36"/>
      <c r="K27" s="36"/>
      <c r="L27" s="36"/>
      <c r="M27" s="36"/>
      <c r="N27" s="106"/>
    </row>
    <row r="28" spans="3:14" ht="15" customHeight="1">
      <c r="C28" s="101"/>
      <c r="D28" s="36"/>
      <c r="E28" s="295" t="s">
        <v>159</v>
      </c>
      <c r="F28" s="295"/>
      <c r="G28" s="295"/>
      <c r="H28" s="295"/>
      <c r="I28" s="295"/>
      <c r="J28" s="107"/>
      <c r="K28" s="107"/>
      <c r="L28" s="107"/>
      <c r="M28" s="107"/>
      <c r="N28" s="106"/>
    </row>
    <row r="29" spans="3:14">
      <c r="C29" s="101"/>
      <c r="D29" s="36"/>
      <c r="E29" s="295"/>
      <c r="F29" s="295"/>
      <c r="G29" s="295"/>
      <c r="H29" s="295"/>
      <c r="I29" s="295"/>
      <c r="J29" s="107"/>
      <c r="K29" s="107"/>
      <c r="L29" s="107"/>
      <c r="M29" s="107"/>
      <c r="N29" s="106"/>
    </row>
    <row r="30" spans="3:14">
      <c r="C30" s="101"/>
      <c r="D30" s="36"/>
      <c r="E30" s="295"/>
      <c r="F30" s="295"/>
      <c r="G30" s="295"/>
      <c r="H30" s="295"/>
      <c r="I30" s="295"/>
      <c r="J30" s="36"/>
      <c r="K30" s="36"/>
      <c r="L30" s="36"/>
      <c r="M30" s="36"/>
      <c r="N30" s="106"/>
    </row>
    <row r="31" spans="3:14" ht="24" customHeight="1">
      <c r="C31" s="101"/>
      <c r="D31" s="36"/>
      <c r="E31" s="295"/>
      <c r="F31" s="295"/>
      <c r="G31" s="295"/>
      <c r="H31" s="295"/>
      <c r="I31" s="295"/>
      <c r="J31" s="36"/>
      <c r="K31" s="36"/>
      <c r="L31" s="36"/>
      <c r="M31" s="36"/>
      <c r="N31" s="106"/>
    </row>
    <row r="32" spans="3:14">
      <c r="C32" s="109"/>
      <c r="D32" s="110"/>
      <c r="E32" s="110"/>
      <c r="F32" s="110"/>
      <c r="G32" s="110"/>
      <c r="H32" s="110"/>
      <c r="I32" s="110"/>
      <c r="J32" s="110"/>
      <c r="K32" s="110"/>
      <c r="L32" s="110"/>
      <c r="M32" s="110"/>
      <c r="N32" s="111"/>
    </row>
  </sheetData>
  <mergeCells count="22">
    <mergeCell ref="C3:C4"/>
    <mergeCell ref="D3:N4"/>
    <mergeCell ref="D5:E6"/>
    <mergeCell ref="F5:I5"/>
    <mergeCell ref="J5:M5"/>
    <mergeCell ref="N5:N8"/>
    <mergeCell ref="C9:C17"/>
    <mergeCell ref="D9:D11"/>
    <mergeCell ref="E9:E11"/>
    <mergeCell ref="D12:D14"/>
    <mergeCell ref="E12:E14"/>
    <mergeCell ref="D15:D17"/>
    <mergeCell ref="E15:E17"/>
    <mergeCell ref="E23:I23"/>
    <mergeCell ref="E28:I31"/>
    <mergeCell ref="F18:I18"/>
    <mergeCell ref="J18:M18"/>
    <mergeCell ref="N18:N20"/>
    <mergeCell ref="F19:I19"/>
    <mergeCell ref="J19:M19"/>
    <mergeCell ref="F20:I20"/>
    <mergeCell ref="J20:M20"/>
  </mergeCells>
  <pageMargins left="0.78749999999999998" right="0.78749999999999998" top="1.05277777777778" bottom="1.05277777777778" header="0.78749999999999998" footer="0.78749999999999998"/>
  <pageSetup paperSize="9" firstPageNumber="0" orientation="portrait" horizontalDpi="300" verticalDpi="300" r:id="rId1"/>
  <headerFooter>
    <oddHeader>&amp;C&amp;"Times New Roman,Normal"&amp;12&amp;A</oddHeader>
    <oddFooter>&amp;C&amp;"Times New Roman,Normal"&amp;12Página &amp;P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BL24"/>
  <sheetViews>
    <sheetView showGridLines="0" topLeftCell="A10" zoomScale="70" zoomScaleNormal="70" workbookViewId="0">
      <selection activeCell="D15" sqref="D15"/>
    </sheetView>
  </sheetViews>
  <sheetFormatPr defaultColWidth="8.375" defaultRowHeight="15.75"/>
  <cols>
    <col min="1" max="1" width="6.375" style="1" customWidth="1"/>
    <col min="2" max="2" width="8" style="1" customWidth="1"/>
    <col min="3" max="3" width="17.625" style="2" customWidth="1"/>
    <col min="4" max="4" width="48.125" style="3" customWidth="1"/>
    <col min="5" max="5" width="10" style="1" customWidth="1"/>
    <col min="6" max="6" width="8.75" style="4" customWidth="1"/>
    <col min="7" max="7" width="51.25" style="3" customWidth="1"/>
    <col min="8" max="8" width="11.375" style="5" customWidth="1"/>
    <col min="9" max="9" width="12.875" style="5" customWidth="1"/>
    <col min="10" max="10" width="11.375" style="6" customWidth="1"/>
    <col min="11" max="11" width="11.375" style="5" customWidth="1"/>
    <col min="12" max="12" width="18.75" style="5" customWidth="1"/>
    <col min="13" max="64" width="8.375" style="1"/>
  </cols>
  <sheetData>
    <row r="1" spans="1:12" ht="15.75" customHeight="1">
      <c r="A1" s="321"/>
      <c r="B1" s="321"/>
      <c r="C1" s="321"/>
      <c r="D1" s="322" t="s">
        <v>0</v>
      </c>
      <c r="E1" s="322"/>
      <c r="F1" s="322"/>
      <c r="G1" s="322"/>
      <c r="H1" s="322"/>
      <c r="I1" s="322"/>
      <c r="J1" s="322"/>
      <c r="K1" s="322"/>
      <c r="L1" s="322"/>
    </row>
    <row r="2" spans="1:12">
      <c r="A2" s="321"/>
      <c r="B2" s="321"/>
      <c r="C2" s="321"/>
      <c r="D2" s="322"/>
      <c r="E2" s="322"/>
      <c r="F2" s="322"/>
      <c r="G2" s="322"/>
      <c r="H2" s="322"/>
      <c r="I2" s="322"/>
      <c r="J2" s="322"/>
      <c r="K2" s="322"/>
      <c r="L2" s="322"/>
    </row>
    <row r="3" spans="1:12">
      <c r="A3" s="321"/>
      <c r="B3" s="321"/>
      <c r="C3" s="321"/>
      <c r="D3" s="322"/>
      <c r="E3" s="322"/>
      <c r="F3" s="322"/>
      <c r="G3" s="322"/>
      <c r="H3" s="322"/>
      <c r="I3" s="322"/>
      <c r="J3" s="322"/>
      <c r="K3" s="322"/>
      <c r="L3" s="322"/>
    </row>
    <row r="4" spans="1:12">
      <c r="A4" s="321"/>
      <c r="B4" s="321"/>
      <c r="C4" s="321"/>
      <c r="D4" s="322"/>
      <c r="E4" s="322"/>
      <c r="F4" s="322"/>
      <c r="G4" s="322"/>
      <c r="H4" s="322"/>
      <c r="I4" s="322"/>
      <c r="J4" s="322"/>
      <c r="K4" s="322"/>
      <c r="L4" s="322"/>
    </row>
    <row r="5" spans="1:12" ht="15.75" customHeight="1">
      <c r="A5" s="323" t="s">
        <v>1</v>
      </c>
      <c r="B5" s="323"/>
      <c r="C5" s="323"/>
      <c r="D5" s="323"/>
      <c r="E5" s="323"/>
      <c r="F5" s="323"/>
      <c r="G5" s="323"/>
      <c r="H5" s="323"/>
      <c r="I5" s="323"/>
      <c r="J5" s="323"/>
      <c r="K5" s="323"/>
      <c r="L5" s="323"/>
    </row>
    <row r="6" spans="1:12" ht="15.75" customHeight="1">
      <c r="A6" s="323"/>
      <c r="B6" s="323"/>
      <c r="C6" s="323"/>
      <c r="D6" s="323"/>
      <c r="E6" s="323"/>
      <c r="F6" s="323"/>
      <c r="G6" s="323"/>
      <c r="H6" s="323"/>
      <c r="I6" s="323"/>
      <c r="J6" s="323"/>
      <c r="K6" s="323"/>
      <c r="L6" s="323"/>
    </row>
    <row r="7" spans="1:12" ht="15.75" customHeight="1">
      <c r="A7" s="323"/>
      <c r="B7" s="323"/>
      <c r="C7" s="323"/>
      <c r="D7" s="323"/>
      <c r="E7" s="323"/>
      <c r="F7" s="323"/>
      <c r="G7" s="323"/>
      <c r="H7" s="323"/>
      <c r="I7" s="323"/>
      <c r="J7" s="323"/>
      <c r="K7" s="323"/>
      <c r="L7" s="323"/>
    </row>
    <row r="8" spans="1:12" ht="15.75" customHeight="1">
      <c r="A8" s="323"/>
      <c r="B8" s="323"/>
      <c r="C8" s="323"/>
      <c r="D8" s="323"/>
      <c r="E8" s="323"/>
      <c r="F8" s="323"/>
      <c r="G8" s="323"/>
      <c r="H8" s="323"/>
      <c r="I8" s="323"/>
      <c r="J8" s="323"/>
      <c r="K8" s="323"/>
      <c r="L8" s="323"/>
    </row>
    <row r="9" spans="1:12" ht="15.75" customHeight="1">
      <c r="A9" s="323"/>
      <c r="B9" s="323"/>
      <c r="C9" s="323"/>
      <c r="D9" s="323"/>
      <c r="E9" s="323"/>
      <c r="F9" s="323"/>
      <c r="G9" s="323"/>
      <c r="H9" s="323"/>
      <c r="I9" s="323"/>
      <c r="J9" s="323"/>
      <c r="K9" s="323"/>
      <c r="L9" s="323"/>
    </row>
    <row r="10" spans="1:12" ht="15.75" customHeight="1">
      <c r="A10" s="323"/>
      <c r="B10" s="323"/>
      <c r="C10" s="323"/>
      <c r="D10" s="323"/>
      <c r="E10" s="323"/>
      <c r="F10" s="323"/>
      <c r="G10" s="323"/>
      <c r="H10" s="323"/>
      <c r="I10" s="323"/>
      <c r="J10" s="323"/>
      <c r="K10" s="323"/>
      <c r="L10" s="323"/>
    </row>
    <row r="11" spans="1:12" ht="44.25" customHeight="1">
      <c r="A11" s="293" t="s">
        <v>160</v>
      </c>
      <c r="B11" s="293"/>
      <c r="C11" s="293"/>
      <c r="D11" s="293"/>
      <c r="E11" s="293"/>
      <c r="F11" s="293"/>
      <c r="G11" s="293"/>
      <c r="H11" s="293"/>
      <c r="I11" s="293"/>
      <c r="J11" s="293"/>
      <c r="K11" s="293"/>
      <c r="L11" s="293"/>
    </row>
    <row r="12" spans="1:12" s="15" customFormat="1" ht="60" customHeight="1">
      <c r="A12" s="112" t="s">
        <v>2</v>
      </c>
      <c r="B12" s="8" t="s">
        <v>3</v>
      </c>
      <c r="C12" s="9" t="s">
        <v>4</v>
      </c>
      <c r="D12" s="10" t="s">
        <v>5</v>
      </c>
      <c r="E12" s="8" t="s">
        <v>6</v>
      </c>
      <c r="F12" s="11" t="s">
        <v>7</v>
      </c>
      <c r="G12" s="10" t="s">
        <v>8</v>
      </c>
      <c r="H12" s="12" t="s">
        <v>9</v>
      </c>
      <c r="I12" s="12" t="s">
        <v>10</v>
      </c>
      <c r="J12" s="13" t="s">
        <v>11</v>
      </c>
      <c r="K12" s="12" t="s">
        <v>12</v>
      </c>
      <c r="L12" s="113" t="s">
        <v>13</v>
      </c>
    </row>
    <row r="13" spans="1:12" s="15" customFormat="1" ht="28.5" customHeight="1">
      <c r="A13" s="114">
        <v>1</v>
      </c>
      <c r="B13" s="324" t="s">
        <v>161</v>
      </c>
      <c r="C13" s="324"/>
      <c r="D13" s="324"/>
      <c r="E13" s="324"/>
      <c r="F13" s="324"/>
      <c r="G13" s="324"/>
      <c r="H13" s="324"/>
      <c r="I13" s="324"/>
      <c r="J13" s="324"/>
      <c r="K13" s="324"/>
      <c r="L13" s="324"/>
    </row>
    <row r="14" spans="1:12" s="15" customFormat="1" ht="39.75" customHeight="1">
      <c r="A14" s="115" t="s">
        <v>16</v>
      </c>
      <c r="B14" s="18" t="s">
        <v>17</v>
      </c>
      <c r="C14" s="116" t="s">
        <v>232</v>
      </c>
      <c r="D14" s="22" t="s">
        <v>233</v>
      </c>
      <c r="E14" s="18" t="s">
        <v>34</v>
      </c>
      <c r="F14" s="21">
        <f>44*3</f>
        <v>132</v>
      </c>
      <c r="G14" s="22" t="s">
        <v>241</v>
      </c>
      <c r="H14" s="117">
        <v>104.33</v>
      </c>
      <c r="I14" s="117">
        <f>H14*F14</f>
        <v>13771.56</v>
      </c>
      <c r="J14" s="118">
        <v>0.28349999999999997</v>
      </c>
      <c r="K14" s="117">
        <f>H14+(H14*J14)</f>
        <v>133.907555</v>
      </c>
      <c r="L14" s="119">
        <f>K14*F14</f>
        <v>17675.797259999999</v>
      </c>
    </row>
    <row r="15" spans="1:12" s="15" customFormat="1" ht="39" customHeight="1">
      <c r="A15" s="42" t="s">
        <v>16</v>
      </c>
      <c r="B15" s="42" t="s">
        <v>263</v>
      </c>
      <c r="C15" s="198">
        <v>10725</v>
      </c>
      <c r="D15" s="264" t="s">
        <v>287</v>
      </c>
      <c r="E15" s="42" t="s">
        <v>264</v>
      </c>
      <c r="F15" s="40">
        <v>2</v>
      </c>
      <c r="G15" s="196" t="s">
        <v>265</v>
      </c>
      <c r="H15" s="197">
        <v>11792.92</v>
      </c>
      <c r="I15" s="117">
        <f>H15*F15</f>
        <v>23585.84</v>
      </c>
      <c r="J15" s="118">
        <v>0.28349999999999997</v>
      </c>
      <c r="K15" s="117">
        <f>H15+(H15*J15)</f>
        <v>15136.212820000001</v>
      </c>
      <c r="L15" s="119">
        <f>K15*F15</f>
        <v>30272.425640000001</v>
      </c>
    </row>
    <row r="16" spans="1:12" s="15" customFormat="1" ht="34.5" customHeight="1" thickBot="1">
      <c r="A16" s="120" t="s">
        <v>27</v>
      </c>
      <c r="B16" s="27" t="s">
        <v>17</v>
      </c>
      <c r="C16" s="121">
        <v>90776</v>
      </c>
      <c r="D16" s="31" t="s">
        <v>162</v>
      </c>
      <c r="E16" s="27" t="s">
        <v>34</v>
      </c>
      <c r="F16" s="30">
        <f>22*8*2</f>
        <v>352</v>
      </c>
      <c r="G16" s="31" t="s">
        <v>163</v>
      </c>
      <c r="H16" s="122">
        <v>30.19</v>
      </c>
      <c r="I16" s="122">
        <f>H16*F16</f>
        <v>10626.880000000001</v>
      </c>
      <c r="J16" s="118">
        <v>0.28349999999999997</v>
      </c>
      <c r="K16" s="122">
        <f>H16+(H16*J16)</f>
        <v>38.748865000000002</v>
      </c>
      <c r="L16" s="123">
        <f>K16*F16</f>
        <v>13639.600480000001</v>
      </c>
    </row>
    <row r="17" spans="1:12" s="15" customFormat="1" ht="30" customHeight="1">
      <c r="A17" s="318" t="s">
        <v>70</v>
      </c>
      <c r="B17" s="318"/>
      <c r="C17" s="318"/>
      <c r="D17" s="318"/>
      <c r="E17" s="318"/>
      <c r="F17" s="318"/>
      <c r="G17" s="318"/>
      <c r="H17" s="318"/>
      <c r="I17" s="124">
        <f>SUM(I14:I16)</f>
        <v>47984.28</v>
      </c>
      <c r="J17" s="125"/>
      <c r="K17" s="125"/>
      <c r="L17" s="126">
        <f>SUM(L14:L16)</f>
        <v>61587.823380000002</v>
      </c>
    </row>
    <row r="18" spans="1:12" s="39" customFormat="1" ht="27.75" customHeight="1">
      <c r="A18" s="319" t="s">
        <v>141</v>
      </c>
      <c r="B18" s="319"/>
      <c r="C18" s="319"/>
      <c r="D18" s="319"/>
      <c r="E18" s="319"/>
      <c r="F18" s="319"/>
      <c r="G18" s="319"/>
      <c r="H18" s="319"/>
      <c r="I18" s="319"/>
      <c r="J18" s="319"/>
      <c r="K18" s="319"/>
      <c r="L18" s="127">
        <f>I17</f>
        <v>47984.28</v>
      </c>
    </row>
    <row r="19" spans="1:12" s="39" customFormat="1" ht="23.25" customHeight="1">
      <c r="A19" s="316" t="s">
        <v>142</v>
      </c>
      <c r="B19" s="316"/>
      <c r="C19" s="316"/>
      <c r="D19" s="316"/>
      <c r="E19" s="316"/>
      <c r="F19" s="316"/>
      <c r="G19" s="316"/>
      <c r="H19" s="316"/>
      <c r="I19" s="316"/>
      <c r="J19" s="316"/>
      <c r="K19" s="316"/>
      <c r="L19" s="128">
        <f>L20-L18</f>
        <v>13603.543380000003</v>
      </c>
    </row>
    <row r="20" spans="1:12" s="39" customFormat="1" ht="29.25" customHeight="1">
      <c r="A20" s="320" t="s">
        <v>143</v>
      </c>
      <c r="B20" s="320"/>
      <c r="C20" s="320"/>
      <c r="D20" s="320"/>
      <c r="E20" s="320"/>
      <c r="F20" s="320"/>
      <c r="G20" s="320"/>
      <c r="H20" s="320"/>
      <c r="I20" s="320"/>
      <c r="J20" s="320"/>
      <c r="K20" s="320"/>
      <c r="L20" s="129">
        <f>L17</f>
        <v>61587.823380000002</v>
      </c>
    </row>
    <row r="21" spans="1:12" s="39" customFormat="1" ht="25.5" customHeight="1">
      <c r="A21" s="316" t="s">
        <v>164</v>
      </c>
      <c r="B21" s="316"/>
      <c r="C21" s="316"/>
      <c r="D21" s="316"/>
      <c r="E21" s="316"/>
      <c r="F21" s="316"/>
      <c r="G21" s="316"/>
      <c r="H21" s="316"/>
      <c r="I21" s="316"/>
      <c r="J21" s="316"/>
      <c r="K21" s="316"/>
      <c r="L21" s="130">
        <f>'PLANILHA ORÇAMENTÁRIA'!M55</f>
        <v>472588.36745760828</v>
      </c>
    </row>
    <row r="22" spans="1:12" s="39" customFormat="1" ht="29.25" customHeight="1">
      <c r="A22" s="316" t="s">
        <v>165</v>
      </c>
      <c r="B22" s="316"/>
      <c r="C22" s="316"/>
      <c r="D22" s="316"/>
      <c r="E22" s="316"/>
      <c r="F22" s="316"/>
      <c r="G22" s="316"/>
      <c r="H22" s="316"/>
      <c r="I22" s="316"/>
      <c r="J22" s="316"/>
      <c r="K22" s="316"/>
      <c r="L22" s="162">
        <f>L20/L21</f>
        <v>0.13032022711715285</v>
      </c>
    </row>
    <row r="23" spans="1:12" ht="119.45" customHeight="1">
      <c r="A23" s="317" t="s">
        <v>166</v>
      </c>
      <c r="B23" s="317"/>
      <c r="C23" s="317"/>
      <c r="D23" s="317"/>
      <c r="E23" s="317"/>
      <c r="F23" s="317"/>
      <c r="G23" s="317"/>
      <c r="H23" s="317"/>
      <c r="I23" s="317"/>
      <c r="J23" s="317"/>
      <c r="K23" s="317"/>
      <c r="L23" s="317"/>
    </row>
    <row r="24" spans="1:12">
      <c r="A24" s="283"/>
      <c r="B24" s="283"/>
      <c r="C24" s="283"/>
      <c r="D24" s="283"/>
      <c r="E24" s="283"/>
      <c r="F24" s="283"/>
      <c r="G24" s="283"/>
      <c r="H24" s="283"/>
      <c r="I24" s="283"/>
      <c r="J24" s="283"/>
      <c r="K24" s="283"/>
      <c r="L24" s="283"/>
    </row>
  </sheetData>
  <mergeCells count="13">
    <mergeCell ref="A1:C4"/>
    <mergeCell ref="D1:L4"/>
    <mergeCell ref="A5:L10"/>
    <mergeCell ref="A11:L11"/>
    <mergeCell ref="B13:L13"/>
    <mergeCell ref="A22:K22"/>
    <mergeCell ref="A23:L23"/>
    <mergeCell ref="A24:L24"/>
    <mergeCell ref="A17:H17"/>
    <mergeCell ref="A18:K18"/>
    <mergeCell ref="A19:K19"/>
    <mergeCell ref="A20:K20"/>
    <mergeCell ref="A21:K21"/>
  </mergeCells>
  <pageMargins left="0.51180555555555496" right="0.51180555555555496" top="0.78749999999999998" bottom="0.59027777777777801" header="0.51180555555555496" footer="0.51180555555555496"/>
  <pageSetup paperSize="9" firstPageNumber="0" fitToHeight="0" orientation="landscape" horizontalDpi="300" verticalDpi="30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BI69"/>
  <sheetViews>
    <sheetView showGridLines="0" zoomScale="85" zoomScaleNormal="85" workbookViewId="0">
      <selection activeCell="F73" sqref="F73"/>
    </sheetView>
  </sheetViews>
  <sheetFormatPr defaultColWidth="8.375" defaultRowHeight="15.75"/>
  <cols>
    <col min="1" max="1" width="6.375" style="1" customWidth="1"/>
    <col min="2" max="2" width="8" style="1" customWidth="1"/>
    <col min="3" max="3" width="17.625" style="2" customWidth="1"/>
    <col min="4" max="4" width="48.125" style="3" customWidth="1"/>
    <col min="5" max="5" width="10" style="1" customWidth="1"/>
    <col min="6" max="6" width="8.75" style="4" customWidth="1"/>
    <col min="7" max="7" width="8.75" style="3" customWidth="1"/>
    <col min="8" max="8" width="12.125" style="5" customWidth="1"/>
    <col min="9" max="9" width="11.25" style="5" customWidth="1"/>
    <col min="10" max="10" width="12.25" style="6" customWidth="1"/>
    <col min="11" max="61" width="8.375" style="1"/>
  </cols>
  <sheetData>
    <row r="1" spans="1:61" ht="16.5" customHeight="1">
      <c r="A1" s="334"/>
      <c r="B1" s="334"/>
      <c r="C1" s="334"/>
      <c r="D1" s="335" t="s">
        <v>0</v>
      </c>
      <c r="E1" s="335"/>
      <c r="F1" s="335"/>
      <c r="G1" s="335"/>
      <c r="H1" s="335"/>
      <c r="I1" s="335"/>
      <c r="J1" s="335"/>
    </row>
    <row r="2" spans="1:61">
      <c r="A2" s="334"/>
      <c r="B2" s="334"/>
      <c r="C2" s="334"/>
      <c r="D2" s="335"/>
      <c r="E2" s="335"/>
      <c r="F2" s="335"/>
      <c r="G2" s="335"/>
      <c r="H2" s="335"/>
      <c r="I2" s="335"/>
      <c r="J2" s="335"/>
    </row>
    <row r="3" spans="1:61">
      <c r="A3" s="334"/>
      <c r="B3" s="334"/>
      <c r="C3" s="334"/>
      <c r="D3" s="335"/>
      <c r="E3" s="335"/>
      <c r="F3" s="335"/>
      <c r="G3" s="335"/>
      <c r="H3" s="335"/>
      <c r="I3" s="335"/>
      <c r="J3" s="335"/>
    </row>
    <row r="4" spans="1:61">
      <c r="A4" s="334"/>
      <c r="B4" s="334"/>
      <c r="C4" s="334"/>
      <c r="D4" s="335"/>
      <c r="E4" s="335"/>
      <c r="F4" s="335"/>
      <c r="G4" s="335"/>
      <c r="H4" s="335"/>
      <c r="I4" s="335"/>
      <c r="J4" s="335"/>
    </row>
    <row r="5" spans="1:61" ht="15.75" customHeight="1">
      <c r="A5" s="292" t="s">
        <v>1</v>
      </c>
      <c r="B5" s="292"/>
      <c r="C5" s="292"/>
      <c r="D5" s="292"/>
      <c r="E5" s="292"/>
      <c r="F5" s="292"/>
      <c r="G5" s="292"/>
      <c r="H5" s="292"/>
      <c r="I5" s="292"/>
      <c r="J5" s="292"/>
    </row>
    <row r="6" spans="1:61" ht="15.75" customHeight="1">
      <c r="A6" s="292"/>
      <c r="B6" s="292"/>
      <c r="C6" s="292"/>
      <c r="D6" s="292"/>
      <c r="E6" s="292"/>
      <c r="F6" s="292"/>
      <c r="G6" s="292"/>
      <c r="H6" s="292"/>
      <c r="I6" s="292"/>
      <c r="J6" s="292"/>
    </row>
    <row r="7" spans="1:61" ht="15.75" customHeight="1">
      <c r="A7" s="292"/>
      <c r="B7" s="292"/>
      <c r="C7" s="292"/>
      <c r="D7" s="292"/>
      <c r="E7" s="292"/>
      <c r="F7" s="292"/>
      <c r="G7" s="292"/>
      <c r="H7" s="292"/>
      <c r="I7" s="292"/>
      <c r="J7" s="292"/>
    </row>
    <row r="8" spans="1:61" ht="15.75" customHeight="1">
      <c r="A8" s="292"/>
      <c r="B8" s="292"/>
      <c r="C8" s="292"/>
      <c r="D8" s="292"/>
      <c r="E8" s="292"/>
      <c r="F8" s="292"/>
      <c r="G8" s="292"/>
      <c r="H8" s="292"/>
      <c r="I8" s="292"/>
      <c r="J8" s="292"/>
    </row>
    <row r="9" spans="1:61" ht="15.75" customHeight="1">
      <c r="A9" s="292"/>
      <c r="B9" s="292"/>
      <c r="C9" s="292"/>
      <c r="D9" s="292"/>
      <c r="E9" s="292"/>
      <c r="F9" s="292"/>
      <c r="G9" s="292"/>
      <c r="H9" s="292"/>
      <c r="I9" s="292"/>
      <c r="J9" s="292"/>
    </row>
    <row r="10" spans="1:61" ht="15.75" customHeight="1">
      <c r="A10" s="292"/>
      <c r="B10" s="292"/>
      <c r="C10" s="292"/>
      <c r="D10" s="292"/>
      <c r="E10" s="292"/>
      <c r="F10" s="292"/>
      <c r="G10" s="292"/>
      <c r="H10" s="292"/>
      <c r="I10" s="292"/>
      <c r="J10" s="292"/>
    </row>
    <row r="11" spans="1:61" ht="27.6" customHeight="1">
      <c r="A11" s="293" t="s">
        <v>261</v>
      </c>
      <c r="B11" s="293"/>
      <c r="C11" s="293"/>
      <c r="D11" s="293"/>
      <c r="E11" s="293"/>
      <c r="F11" s="293"/>
      <c r="G11" s="293"/>
      <c r="H11" s="293"/>
      <c r="I11" s="293"/>
      <c r="J11" s="293"/>
    </row>
    <row r="12" spans="1:61">
      <c r="A12" s="330" t="s">
        <v>168</v>
      </c>
      <c r="B12" s="330"/>
      <c r="C12" s="330"/>
      <c r="D12" s="330"/>
      <c r="E12" s="330"/>
      <c r="F12" s="330"/>
      <c r="G12" s="330"/>
      <c r="H12" s="330"/>
      <c r="I12" s="330"/>
      <c r="J12" s="330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"/>
      <c r="AB12" s="15"/>
      <c r="AC12" s="15"/>
      <c r="AD12" s="15"/>
      <c r="AE12" s="15"/>
      <c r="AF12" s="15"/>
      <c r="AG12" s="15"/>
      <c r="AH12" s="15"/>
      <c r="AI12" s="15"/>
      <c r="AJ12" s="15"/>
      <c r="AK12" s="15"/>
      <c r="AL12" s="15"/>
      <c r="AM12" s="15"/>
      <c r="AN12" s="15"/>
      <c r="AO12" s="15"/>
      <c r="AP12" s="15"/>
      <c r="AQ12" s="15"/>
      <c r="AR12" s="15"/>
      <c r="AS12" s="15"/>
      <c r="AT12" s="15"/>
      <c r="AU12" s="15"/>
      <c r="AV12" s="15"/>
      <c r="AW12" s="15"/>
      <c r="AX12" s="15"/>
      <c r="AY12" s="15"/>
      <c r="AZ12" s="15"/>
      <c r="BA12" s="15"/>
      <c r="BB12" s="15"/>
      <c r="BC12" s="15"/>
      <c r="BD12" s="15"/>
      <c r="BE12" s="15"/>
      <c r="BF12" s="15"/>
      <c r="BG12" s="15"/>
      <c r="BH12" s="15"/>
      <c r="BI12" s="15"/>
    </row>
    <row r="13" spans="1:61">
      <c r="A13" s="328" t="s">
        <v>4</v>
      </c>
      <c r="B13" s="328"/>
      <c r="C13" s="328"/>
      <c r="D13" s="328" t="s">
        <v>169</v>
      </c>
      <c r="E13" s="328"/>
      <c r="F13" s="328"/>
      <c r="G13" s="328"/>
      <c r="H13" s="328"/>
      <c r="I13" s="328"/>
      <c r="J13" s="131" t="s">
        <v>6</v>
      </c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  <c r="AA13" s="15"/>
      <c r="AB13" s="15"/>
      <c r="AC13" s="15"/>
      <c r="AD13" s="15"/>
      <c r="AE13" s="15"/>
      <c r="AF13" s="15"/>
      <c r="AG13" s="15"/>
      <c r="AH13" s="15"/>
      <c r="AI13" s="15"/>
      <c r="AJ13" s="15"/>
      <c r="AK13" s="15"/>
      <c r="AL13" s="15"/>
      <c r="AM13" s="15"/>
      <c r="AN13" s="15"/>
      <c r="AO13" s="15"/>
      <c r="AP13" s="15"/>
      <c r="AQ13" s="15"/>
      <c r="AR13" s="15"/>
      <c r="AS13" s="15"/>
      <c r="AT13" s="15"/>
      <c r="AU13" s="15"/>
      <c r="AV13" s="15"/>
      <c r="AW13" s="15"/>
      <c r="AX13" s="15"/>
      <c r="AY13" s="15"/>
      <c r="AZ13" s="15"/>
      <c r="BA13" s="15"/>
      <c r="BB13" s="15"/>
      <c r="BC13" s="15"/>
      <c r="BD13" s="15"/>
      <c r="BE13" s="15"/>
      <c r="BF13" s="15"/>
      <c r="BG13" s="15"/>
      <c r="BH13" s="15"/>
      <c r="BI13" s="15"/>
    </row>
    <row r="14" spans="1:61" ht="26.45" customHeight="1">
      <c r="A14" s="132" t="s">
        <v>22</v>
      </c>
      <c r="B14" s="133" t="s">
        <v>170</v>
      </c>
      <c r="C14" s="134" t="s">
        <v>24</v>
      </c>
      <c r="D14" s="329" t="s">
        <v>25</v>
      </c>
      <c r="E14" s="329"/>
      <c r="F14" s="329"/>
      <c r="G14" s="329"/>
      <c r="H14" s="329"/>
      <c r="I14" s="329"/>
      <c r="J14" s="135" t="s">
        <v>20</v>
      </c>
      <c r="K14" s="26"/>
      <c r="L14" s="26"/>
      <c r="M14" s="26"/>
      <c r="N14" s="26"/>
      <c r="O14" s="26"/>
      <c r="P14" s="26"/>
      <c r="Q14" s="26"/>
      <c r="R14" s="2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  <c r="AF14" s="26"/>
      <c r="AG14" s="26"/>
      <c r="AH14" s="26"/>
      <c r="AI14" s="26"/>
      <c r="AJ14" s="26"/>
      <c r="AK14" s="26"/>
      <c r="AL14" s="26"/>
      <c r="AM14" s="26"/>
      <c r="AN14" s="26"/>
      <c r="AO14" s="26"/>
      <c r="AP14" s="26"/>
      <c r="AQ14" s="26"/>
      <c r="AR14" s="26"/>
      <c r="AS14" s="26"/>
      <c r="AT14" s="26"/>
      <c r="AU14" s="26"/>
      <c r="AV14" s="26"/>
      <c r="AW14" s="26"/>
      <c r="AX14" s="26"/>
      <c r="AY14" s="26"/>
      <c r="AZ14" s="26"/>
      <c r="BA14" s="26"/>
      <c r="BB14" s="26"/>
      <c r="BC14" s="26"/>
      <c r="BD14" s="26"/>
      <c r="BE14" s="26"/>
      <c r="BF14" s="26"/>
      <c r="BG14" s="26"/>
      <c r="BH14" s="26"/>
      <c r="BI14" s="26"/>
    </row>
    <row r="15" spans="1:61">
      <c r="A15" s="330" t="s">
        <v>171</v>
      </c>
      <c r="B15" s="330"/>
      <c r="C15" s="330"/>
      <c r="D15" s="330"/>
      <c r="E15" s="330"/>
      <c r="F15" s="330"/>
      <c r="G15" s="330"/>
      <c r="H15" s="330"/>
      <c r="I15" s="330"/>
      <c r="J15" s="330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  <c r="AF15" s="26"/>
      <c r="AG15" s="26"/>
      <c r="AH15" s="26"/>
      <c r="AI15" s="26"/>
      <c r="AJ15" s="26"/>
      <c r="AK15" s="26"/>
      <c r="AL15" s="26"/>
      <c r="AM15" s="26"/>
      <c r="AN15" s="26"/>
      <c r="AO15" s="26"/>
      <c r="AP15" s="26"/>
      <c r="AQ15" s="26"/>
      <c r="AR15" s="26"/>
      <c r="AS15" s="26"/>
      <c r="AT15" s="26"/>
      <c r="AU15" s="26"/>
      <c r="AV15" s="26"/>
      <c r="AW15" s="26"/>
      <c r="AX15" s="26"/>
      <c r="AY15" s="26"/>
      <c r="AZ15" s="26"/>
      <c r="BA15" s="26"/>
      <c r="BB15" s="26"/>
      <c r="BC15" s="26"/>
      <c r="BD15" s="26"/>
      <c r="BE15" s="26"/>
      <c r="BF15" s="26"/>
      <c r="BG15" s="26"/>
      <c r="BH15" s="26"/>
      <c r="BI15" s="26"/>
    </row>
    <row r="16" spans="1:61" ht="14.25">
      <c r="A16" s="331" t="s">
        <v>4</v>
      </c>
      <c r="B16" s="331"/>
      <c r="C16" s="331"/>
      <c r="D16" s="332" t="s">
        <v>172</v>
      </c>
      <c r="E16" s="332"/>
      <c r="F16" s="332"/>
      <c r="G16" s="136" t="s">
        <v>6</v>
      </c>
      <c r="H16" s="136" t="s">
        <v>173</v>
      </c>
      <c r="I16" s="136" t="s">
        <v>174</v>
      </c>
      <c r="J16" s="137" t="s">
        <v>175</v>
      </c>
      <c r="K16" s="26"/>
      <c r="L16" s="26"/>
      <c r="M16" s="26"/>
      <c r="N16" s="26"/>
      <c r="O16" s="26"/>
      <c r="P16" s="26"/>
      <c r="Q16" s="26"/>
      <c r="R16" s="2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  <c r="AF16" s="26"/>
      <c r="AG16" s="26"/>
      <c r="AH16" s="26"/>
      <c r="AI16" s="26"/>
      <c r="AJ16" s="26"/>
      <c r="AK16" s="26"/>
      <c r="AL16" s="26"/>
      <c r="AM16" s="26"/>
      <c r="AN16" s="26"/>
      <c r="AO16" s="26"/>
      <c r="AP16" s="26"/>
      <c r="AQ16" s="26"/>
      <c r="AR16" s="26"/>
      <c r="AS16" s="26"/>
      <c r="AT16" s="26"/>
      <c r="AU16" s="26"/>
      <c r="AV16" s="26"/>
      <c r="AW16" s="26"/>
      <c r="AX16" s="26"/>
      <c r="AY16" s="26"/>
      <c r="AZ16" s="26"/>
      <c r="BA16" s="26"/>
      <c r="BB16" s="26"/>
      <c r="BC16" s="26"/>
      <c r="BD16" s="26"/>
      <c r="BE16" s="26"/>
      <c r="BF16" s="26"/>
      <c r="BG16" s="26"/>
      <c r="BH16" s="26"/>
      <c r="BI16" s="26"/>
    </row>
    <row r="17" spans="1:61" ht="24" customHeight="1">
      <c r="A17" s="333" t="s">
        <v>176</v>
      </c>
      <c r="B17" s="333"/>
      <c r="C17" s="333"/>
      <c r="D17" s="326" t="s">
        <v>177</v>
      </c>
      <c r="E17" s="326"/>
      <c r="F17" s="326"/>
      <c r="G17" s="26" t="s">
        <v>178</v>
      </c>
      <c r="H17" s="26">
        <v>4</v>
      </c>
      <c r="I17" s="138">
        <v>27.8</v>
      </c>
      <c r="J17" s="139">
        <f t="shared" ref="J17:J22" si="0">I17*H17</f>
        <v>111.2</v>
      </c>
      <c r="K17" s="26"/>
      <c r="L17" s="26"/>
      <c r="M17" s="26"/>
      <c r="N17" s="26"/>
      <c r="O17" s="26"/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  <c r="AF17" s="26"/>
      <c r="AG17" s="26"/>
      <c r="AH17" s="26"/>
      <c r="AI17" s="26"/>
      <c r="AJ17" s="26"/>
      <c r="AK17" s="26"/>
      <c r="AL17" s="26"/>
      <c r="AM17" s="26"/>
      <c r="AN17" s="26"/>
      <c r="AO17" s="26"/>
      <c r="AP17" s="26"/>
      <c r="AQ17" s="26"/>
      <c r="AR17" s="26"/>
      <c r="AS17" s="26"/>
      <c r="AT17" s="26"/>
      <c r="AU17" s="26"/>
      <c r="AV17" s="26"/>
      <c r="AW17" s="26"/>
      <c r="AX17" s="26"/>
      <c r="AY17" s="26"/>
      <c r="AZ17" s="26"/>
      <c r="BA17" s="26"/>
      <c r="BB17" s="26"/>
      <c r="BC17" s="26"/>
      <c r="BD17" s="26"/>
      <c r="BE17" s="26"/>
      <c r="BF17" s="26"/>
      <c r="BG17" s="26"/>
      <c r="BH17" s="26"/>
      <c r="BI17" s="26"/>
    </row>
    <row r="18" spans="1:61" ht="24" customHeight="1">
      <c r="A18" s="333" t="s">
        <v>242</v>
      </c>
      <c r="B18" s="333"/>
      <c r="C18" s="333"/>
      <c r="D18" s="326" t="s">
        <v>179</v>
      </c>
      <c r="E18" s="326"/>
      <c r="F18" s="326"/>
      <c r="G18" s="26" t="s">
        <v>180</v>
      </c>
      <c r="H18" s="26">
        <v>1</v>
      </c>
      <c r="I18" s="138">
        <v>302.5</v>
      </c>
      <c r="J18" s="139">
        <f t="shared" si="0"/>
        <v>302.5</v>
      </c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6"/>
      <c r="AI18" s="26"/>
      <c r="AJ18" s="26"/>
      <c r="AK18" s="26"/>
      <c r="AL18" s="26"/>
      <c r="AM18" s="26"/>
      <c r="AN18" s="26"/>
      <c r="AO18" s="26"/>
      <c r="AP18" s="26"/>
      <c r="AQ18" s="26"/>
      <c r="AR18" s="26"/>
      <c r="AS18" s="26"/>
      <c r="AT18" s="26"/>
      <c r="AU18" s="26"/>
      <c r="AV18" s="26"/>
      <c r="AW18" s="26"/>
      <c r="AX18" s="26"/>
      <c r="AY18" s="26"/>
      <c r="AZ18" s="26"/>
      <c r="BA18" s="26"/>
      <c r="BB18" s="26"/>
      <c r="BC18" s="26"/>
      <c r="BD18" s="26"/>
      <c r="BE18" s="26"/>
      <c r="BF18" s="26"/>
      <c r="BG18" s="26"/>
      <c r="BH18" s="26"/>
      <c r="BI18" s="26"/>
    </row>
    <row r="19" spans="1:61" ht="12.75" customHeight="1">
      <c r="A19" s="325" t="s">
        <v>243</v>
      </c>
      <c r="B19" s="325"/>
      <c r="C19" s="325"/>
      <c r="D19" s="326" t="s">
        <v>181</v>
      </c>
      <c r="E19" s="326"/>
      <c r="F19" s="326"/>
      <c r="G19" s="26" t="s">
        <v>178</v>
      </c>
      <c r="H19" s="26">
        <v>1</v>
      </c>
      <c r="I19" s="138">
        <v>2.37</v>
      </c>
      <c r="J19" s="139">
        <f t="shared" si="0"/>
        <v>2.37</v>
      </c>
      <c r="K19" s="26"/>
      <c r="L19" s="26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6"/>
      <c r="AI19" s="26"/>
      <c r="AJ19" s="26"/>
      <c r="AK19" s="26"/>
      <c r="AL19" s="26"/>
      <c r="AM19" s="26"/>
      <c r="AN19" s="26"/>
      <c r="AO19" s="26"/>
      <c r="AP19" s="26"/>
      <c r="AQ19" s="26"/>
      <c r="AR19" s="26"/>
      <c r="AS19" s="26"/>
      <c r="AT19" s="26"/>
      <c r="AU19" s="26"/>
      <c r="AV19" s="26"/>
      <c r="AW19" s="26"/>
      <c r="AX19" s="26"/>
      <c r="AY19" s="26"/>
      <c r="AZ19" s="26"/>
      <c r="BA19" s="26"/>
      <c r="BB19" s="26"/>
      <c r="BC19" s="26"/>
      <c r="BD19" s="26"/>
      <c r="BE19" s="26"/>
      <c r="BF19" s="26"/>
      <c r="BG19" s="26"/>
      <c r="BH19" s="26"/>
      <c r="BI19" s="26"/>
    </row>
    <row r="20" spans="1:61" ht="12.75" customHeight="1">
      <c r="A20" s="325" t="s">
        <v>182</v>
      </c>
      <c r="B20" s="325"/>
      <c r="C20" s="325"/>
      <c r="D20" s="326" t="s">
        <v>183</v>
      </c>
      <c r="E20" s="326"/>
      <c r="F20" s="326"/>
      <c r="G20" s="26" t="s">
        <v>184</v>
      </c>
      <c r="H20" s="26">
        <v>1</v>
      </c>
      <c r="I20" s="138">
        <v>25.96</v>
      </c>
      <c r="J20" s="139">
        <f t="shared" si="0"/>
        <v>25.96</v>
      </c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  <c r="AF20" s="26"/>
      <c r="AG20" s="26"/>
      <c r="AH20" s="26"/>
      <c r="AI20" s="26"/>
      <c r="AJ20" s="26"/>
      <c r="AK20" s="26"/>
      <c r="AL20" s="26"/>
      <c r="AM20" s="26"/>
      <c r="AN20" s="26"/>
      <c r="AO20" s="26"/>
      <c r="AP20" s="26"/>
      <c r="AQ20" s="26"/>
      <c r="AR20" s="26"/>
      <c r="AS20" s="26"/>
      <c r="AT20" s="26"/>
      <c r="AU20" s="26"/>
      <c r="AV20" s="26"/>
      <c r="AW20" s="26"/>
      <c r="AX20" s="26"/>
      <c r="AY20" s="26"/>
      <c r="AZ20" s="26"/>
      <c r="BA20" s="26"/>
      <c r="BB20" s="26"/>
      <c r="BC20" s="26"/>
      <c r="BD20" s="26"/>
      <c r="BE20" s="26"/>
      <c r="BF20" s="26"/>
      <c r="BG20" s="26"/>
      <c r="BH20" s="26"/>
      <c r="BI20" s="26"/>
    </row>
    <row r="21" spans="1:61" ht="12.75" customHeight="1">
      <c r="A21" s="325" t="s">
        <v>244</v>
      </c>
      <c r="B21" s="325"/>
      <c r="C21" s="325"/>
      <c r="D21" s="326" t="s">
        <v>185</v>
      </c>
      <c r="E21" s="326"/>
      <c r="F21" s="326"/>
      <c r="G21" s="26" t="s">
        <v>186</v>
      </c>
      <c r="H21" s="26">
        <v>0.15</v>
      </c>
      <c r="I21" s="138">
        <v>21.62</v>
      </c>
      <c r="J21" s="139">
        <f t="shared" si="0"/>
        <v>3.2429999999999999</v>
      </c>
      <c r="K21" s="26"/>
      <c r="L21" s="26"/>
      <c r="M21" s="26"/>
      <c r="N21" s="26"/>
      <c r="O21" s="26"/>
      <c r="P21" s="26"/>
      <c r="Q21" s="26"/>
      <c r="R21" s="2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  <c r="AF21" s="26"/>
      <c r="AG21" s="26"/>
      <c r="AH21" s="26"/>
      <c r="AI21" s="26"/>
      <c r="AJ21" s="26"/>
      <c r="AK21" s="26"/>
      <c r="AL21" s="26"/>
      <c r="AM21" s="26"/>
      <c r="AN21" s="26"/>
      <c r="AO21" s="26"/>
      <c r="AP21" s="26"/>
      <c r="AQ21" s="26"/>
      <c r="AR21" s="26"/>
      <c r="AS21" s="26"/>
      <c r="AT21" s="26"/>
      <c r="AU21" s="26"/>
      <c r="AV21" s="26"/>
      <c r="AW21" s="26"/>
      <c r="AX21" s="26"/>
      <c r="AY21" s="26"/>
      <c r="AZ21" s="26"/>
      <c r="BA21" s="26"/>
      <c r="BB21" s="26"/>
      <c r="BC21" s="26"/>
      <c r="BD21" s="26"/>
      <c r="BE21" s="26"/>
      <c r="BF21" s="26"/>
      <c r="BG21" s="26"/>
      <c r="BH21" s="26"/>
      <c r="BI21" s="26"/>
    </row>
    <row r="22" spans="1:61" ht="12.75" customHeight="1">
      <c r="A22" s="325" t="s">
        <v>187</v>
      </c>
      <c r="B22" s="325"/>
      <c r="C22" s="325"/>
      <c r="D22" s="326" t="s">
        <v>188</v>
      </c>
      <c r="E22" s="326"/>
      <c r="F22" s="326"/>
      <c r="G22" s="26" t="s">
        <v>184</v>
      </c>
      <c r="H22" s="26">
        <v>2</v>
      </c>
      <c r="I22" s="138">
        <v>18.73</v>
      </c>
      <c r="J22" s="139">
        <f t="shared" si="0"/>
        <v>37.46</v>
      </c>
      <c r="K22" s="26"/>
      <c r="L22" s="26"/>
      <c r="M22" s="26"/>
      <c r="N22" s="26"/>
      <c r="O22" s="26"/>
      <c r="P22" s="26"/>
      <c r="Q22" s="26"/>
      <c r="R22" s="2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  <c r="AF22" s="26"/>
      <c r="AG22" s="26"/>
      <c r="AH22" s="26"/>
      <c r="AI22" s="26"/>
      <c r="AJ22" s="26"/>
      <c r="AK22" s="26"/>
      <c r="AL22" s="26"/>
      <c r="AM22" s="26"/>
      <c r="AN22" s="26"/>
      <c r="AO22" s="26"/>
      <c r="AP22" s="26"/>
      <c r="AQ22" s="26"/>
      <c r="AR22" s="26"/>
      <c r="AS22" s="26"/>
      <c r="AT22" s="26"/>
      <c r="AU22" s="26"/>
      <c r="AV22" s="26"/>
      <c r="AW22" s="26"/>
      <c r="AX22" s="26"/>
      <c r="AY22" s="26"/>
      <c r="AZ22" s="26"/>
      <c r="BA22" s="26"/>
      <c r="BB22" s="26"/>
      <c r="BC22" s="26"/>
      <c r="BD22" s="26"/>
      <c r="BE22" s="26"/>
      <c r="BF22" s="26"/>
      <c r="BG22" s="26"/>
      <c r="BH22" s="26"/>
      <c r="BI22" s="26"/>
    </row>
    <row r="23" spans="1:61" ht="14.25">
      <c r="A23" s="327" t="s">
        <v>189</v>
      </c>
      <c r="B23" s="327"/>
      <c r="C23" s="327"/>
      <c r="D23" s="327"/>
      <c r="E23" s="327"/>
      <c r="F23" s="327"/>
      <c r="G23" s="327"/>
      <c r="H23" s="327"/>
      <c r="I23" s="327"/>
      <c r="J23" s="140">
        <f>J17+J18+J19+J20+J21+J22</f>
        <v>482.73299999999995</v>
      </c>
      <c r="K23" s="26"/>
      <c r="L23" s="26"/>
      <c r="M23" s="26"/>
      <c r="N23" s="26"/>
      <c r="O23" s="26"/>
      <c r="P23" s="26"/>
      <c r="Q23" s="26"/>
      <c r="R23" s="2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  <c r="AF23" s="26"/>
      <c r="AG23" s="26"/>
      <c r="AH23" s="26"/>
      <c r="AI23" s="26"/>
      <c r="AJ23" s="26"/>
      <c r="AK23" s="26"/>
      <c r="AL23" s="26"/>
      <c r="AM23" s="26"/>
      <c r="AN23" s="26"/>
      <c r="AO23" s="26"/>
      <c r="AP23" s="26"/>
      <c r="AQ23" s="26"/>
      <c r="AR23" s="26"/>
      <c r="AS23" s="26"/>
      <c r="AT23" s="26"/>
      <c r="AU23" s="26"/>
      <c r="AV23" s="26"/>
      <c r="AW23" s="26"/>
      <c r="AX23" s="26"/>
      <c r="AY23" s="26"/>
      <c r="AZ23" s="26"/>
      <c r="BA23" s="26"/>
      <c r="BB23" s="26"/>
      <c r="BC23" s="26"/>
      <c r="BD23" s="26"/>
      <c r="BE23" s="26"/>
      <c r="BF23" s="26"/>
      <c r="BG23" s="26"/>
      <c r="BH23" s="26"/>
      <c r="BI23" s="26"/>
    </row>
    <row r="24" spans="1:61">
      <c r="A24" s="328" t="s">
        <v>4</v>
      </c>
      <c r="B24" s="328"/>
      <c r="C24" s="328"/>
      <c r="D24" s="328" t="s">
        <v>169</v>
      </c>
      <c r="E24" s="328"/>
      <c r="F24" s="328"/>
      <c r="G24" s="328"/>
      <c r="H24" s="328"/>
      <c r="I24" s="328"/>
      <c r="J24" s="131" t="s">
        <v>6</v>
      </c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  <c r="AA24" s="15"/>
      <c r="AB24" s="15"/>
      <c r="AC24" s="15"/>
      <c r="AD24" s="15"/>
      <c r="AE24" s="15"/>
      <c r="AF24" s="15"/>
      <c r="AG24" s="15"/>
      <c r="AH24" s="15"/>
      <c r="AI24" s="15"/>
      <c r="AJ24" s="15"/>
      <c r="AK24" s="15"/>
      <c r="AL24" s="15"/>
      <c r="AM24" s="15"/>
      <c r="AN24" s="15"/>
      <c r="AO24" s="15"/>
      <c r="AP24" s="15"/>
      <c r="AQ24" s="15"/>
      <c r="AR24" s="15"/>
      <c r="AS24" s="15"/>
      <c r="AT24" s="15"/>
      <c r="AU24" s="15"/>
      <c r="AV24" s="15"/>
      <c r="AW24" s="15"/>
      <c r="AX24" s="15"/>
      <c r="AY24" s="15"/>
      <c r="AZ24" s="15"/>
      <c r="BA24" s="15"/>
      <c r="BB24" s="15"/>
      <c r="BC24" s="15"/>
      <c r="BD24" s="15"/>
      <c r="BE24" s="15"/>
      <c r="BF24" s="15"/>
      <c r="BG24" s="15"/>
      <c r="BH24" s="15"/>
      <c r="BI24" s="15"/>
    </row>
    <row r="25" spans="1:61" ht="26.45" customHeight="1">
      <c r="A25" s="132" t="s">
        <v>31</v>
      </c>
      <c r="B25" s="133" t="s">
        <v>170</v>
      </c>
      <c r="C25" s="134" t="s">
        <v>32</v>
      </c>
      <c r="D25" s="329" t="s">
        <v>190</v>
      </c>
      <c r="E25" s="329"/>
      <c r="F25" s="329"/>
      <c r="G25" s="329"/>
      <c r="H25" s="329"/>
      <c r="I25" s="329"/>
      <c r="J25" s="135" t="s">
        <v>34</v>
      </c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6"/>
      <c r="AK25" s="26"/>
      <c r="AL25" s="26"/>
      <c r="AM25" s="26"/>
      <c r="AN25" s="26"/>
      <c r="AO25" s="26"/>
      <c r="AP25" s="26"/>
      <c r="AQ25" s="26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</row>
    <row r="26" spans="1:61">
      <c r="A26" s="330" t="s">
        <v>171</v>
      </c>
      <c r="B26" s="330"/>
      <c r="C26" s="330"/>
      <c r="D26" s="330"/>
      <c r="E26" s="330"/>
      <c r="F26" s="330"/>
      <c r="G26" s="330"/>
      <c r="H26" s="330"/>
      <c r="I26" s="330"/>
      <c r="J26" s="330"/>
      <c r="K26" s="26"/>
      <c r="L26" s="26"/>
      <c r="M26" s="26"/>
      <c r="N26" s="26"/>
      <c r="O26" s="26"/>
      <c r="P26" s="26"/>
      <c r="Q26" s="26"/>
      <c r="R26" s="2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  <c r="AF26" s="26"/>
      <c r="AG26" s="26"/>
      <c r="AH26" s="26"/>
      <c r="AI26" s="26"/>
      <c r="AJ26" s="26"/>
      <c r="AK26" s="26"/>
      <c r="AL26" s="26"/>
      <c r="AM26" s="26"/>
      <c r="AN26" s="26"/>
      <c r="AO26" s="26"/>
      <c r="AP26" s="26"/>
      <c r="AQ26" s="26"/>
      <c r="AR26" s="26"/>
      <c r="AS26" s="26"/>
      <c r="AT26" s="26"/>
      <c r="AU26" s="26"/>
      <c r="AV26" s="26"/>
      <c r="AW26" s="26"/>
      <c r="AX26" s="26"/>
      <c r="AY26" s="26"/>
      <c r="AZ26" s="26"/>
      <c r="BA26" s="26"/>
      <c r="BB26" s="26"/>
      <c r="BC26" s="26"/>
      <c r="BD26" s="26"/>
      <c r="BE26" s="26"/>
      <c r="BF26" s="26"/>
      <c r="BG26" s="26"/>
      <c r="BH26" s="26"/>
      <c r="BI26" s="26"/>
    </row>
    <row r="27" spans="1:61" ht="14.25">
      <c r="A27" s="331" t="s">
        <v>4</v>
      </c>
      <c r="B27" s="331"/>
      <c r="C27" s="331"/>
      <c r="D27" s="332" t="s">
        <v>172</v>
      </c>
      <c r="E27" s="332"/>
      <c r="F27" s="332"/>
      <c r="G27" s="136" t="s">
        <v>6</v>
      </c>
      <c r="H27" s="136" t="s">
        <v>173</v>
      </c>
      <c r="I27" s="136" t="s">
        <v>174</v>
      </c>
      <c r="J27" s="137" t="s">
        <v>175</v>
      </c>
      <c r="K27" s="26"/>
      <c r="L27" s="26"/>
      <c r="M27" s="26"/>
      <c r="N27" s="26"/>
      <c r="O27" s="26"/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  <c r="AF27" s="26"/>
      <c r="AG27" s="26"/>
      <c r="AH27" s="26"/>
      <c r="AI27" s="26"/>
      <c r="AJ27" s="26"/>
      <c r="AK27" s="26"/>
      <c r="AL27" s="26"/>
      <c r="AM27" s="26"/>
      <c r="AN27" s="26"/>
      <c r="AO27" s="26"/>
      <c r="AP27" s="26"/>
      <c r="AQ27" s="26"/>
      <c r="AR27" s="26"/>
      <c r="AS27" s="26"/>
      <c r="AT27" s="26"/>
      <c r="AU27" s="26"/>
      <c r="AV27" s="26"/>
      <c r="AW27" s="26"/>
      <c r="AX27" s="26"/>
      <c r="AY27" s="26"/>
      <c r="AZ27" s="26"/>
      <c r="BA27" s="26"/>
      <c r="BB27" s="26"/>
      <c r="BC27" s="26"/>
      <c r="BD27" s="26"/>
      <c r="BE27" s="26"/>
      <c r="BF27" s="26"/>
      <c r="BG27" s="26"/>
      <c r="BH27" s="26"/>
      <c r="BI27" s="26"/>
    </row>
    <row r="28" spans="1:61" ht="14.25">
      <c r="A28" s="333" t="s">
        <v>191</v>
      </c>
      <c r="B28" s="333"/>
      <c r="C28" s="333"/>
      <c r="D28" s="325" t="s">
        <v>192</v>
      </c>
      <c r="E28" s="325"/>
      <c r="F28" s="325"/>
      <c r="G28" s="26" t="s">
        <v>184</v>
      </c>
      <c r="H28" s="26">
        <v>2.7E-2</v>
      </c>
      <c r="I28" s="138">
        <v>31.27</v>
      </c>
      <c r="J28" s="139">
        <f t="shared" ref="J28:J33" si="1">I28*H28</f>
        <v>0.84428999999999998</v>
      </c>
      <c r="K28" s="26"/>
      <c r="L28" s="26"/>
      <c r="M28" s="26"/>
      <c r="N28" s="26"/>
      <c r="O28" s="26"/>
      <c r="P28" s="26"/>
      <c r="Q28" s="26"/>
      <c r="R28" s="2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  <c r="AF28" s="26"/>
      <c r="AG28" s="26"/>
      <c r="AH28" s="26"/>
      <c r="AI28" s="26"/>
      <c r="AJ28" s="26"/>
      <c r="AK28" s="26"/>
      <c r="AL28" s="26"/>
      <c r="AM28" s="26"/>
      <c r="AN28" s="26"/>
      <c r="AO28" s="26"/>
      <c r="AP28" s="26"/>
      <c r="AQ28" s="26"/>
      <c r="AR28" s="26"/>
      <c r="AS28" s="26"/>
      <c r="AT28" s="26"/>
      <c r="AU28" s="26"/>
      <c r="AV28" s="26"/>
      <c r="AW28" s="26"/>
      <c r="AX28" s="26"/>
      <c r="AY28" s="26"/>
      <c r="AZ28" s="26"/>
      <c r="BA28" s="26"/>
      <c r="BB28" s="26"/>
      <c r="BC28" s="26"/>
      <c r="BD28" s="26"/>
      <c r="BE28" s="26"/>
      <c r="BF28" s="26"/>
      <c r="BG28" s="26"/>
      <c r="BH28" s="26"/>
      <c r="BI28" s="26"/>
    </row>
    <row r="29" spans="1:61" ht="14.25">
      <c r="A29" s="333" t="s">
        <v>193</v>
      </c>
      <c r="B29" s="333"/>
      <c r="C29" s="333"/>
      <c r="D29" s="325" t="s">
        <v>194</v>
      </c>
      <c r="E29" s="325"/>
      <c r="F29" s="325"/>
      <c r="G29" s="26" t="s">
        <v>184</v>
      </c>
      <c r="H29" s="26">
        <v>5.5E-2</v>
      </c>
      <c r="I29" s="138">
        <v>15.08</v>
      </c>
      <c r="J29" s="139">
        <f t="shared" si="1"/>
        <v>0.82940000000000003</v>
      </c>
      <c r="K29" s="26"/>
      <c r="L29" s="26"/>
      <c r="M29" s="26"/>
      <c r="N29" s="26"/>
      <c r="O29" s="26"/>
      <c r="P29" s="26"/>
      <c r="Q29" s="26"/>
      <c r="R29" s="2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  <c r="AF29" s="26"/>
      <c r="AG29" s="26"/>
      <c r="AH29" s="26"/>
      <c r="AI29" s="26"/>
      <c r="AJ29" s="26"/>
      <c r="AK29" s="26"/>
      <c r="AL29" s="26"/>
      <c r="AM29" s="26"/>
      <c r="AN29" s="26"/>
      <c r="AO29" s="26"/>
      <c r="AP29" s="26"/>
      <c r="AQ29" s="26"/>
      <c r="AR29" s="26"/>
      <c r="AS29" s="26"/>
      <c r="AT29" s="26"/>
      <c r="AU29" s="26"/>
      <c r="AV29" s="26"/>
      <c r="AW29" s="26"/>
      <c r="AX29" s="26"/>
      <c r="AY29" s="26"/>
      <c r="AZ29" s="26"/>
      <c r="BA29" s="26"/>
      <c r="BB29" s="26"/>
      <c r="BC29" s="26"/>
      <c r="BD29" s="26"/>
      <c r="BE29" s="26"/>
      <c r="BF29" s="26"/>
      <c r="BG29" s="26"/>
      <c r="BH29" s="26"/>
      <c r="BI29" s="26"/>
    </row>
    <row r="30" spans="1:61" ht="24" customHeight="1">
      <c r="A30" s="325" t="s">
        <v>245</v>
      </c>
      <c r="B30" s="325"/>
      <c r="C30" s="325"/>
      <c r="D30" s="326" t="s">
        <v>195</v>
      </c>
      <c r="E30" s="326"/>
      <c r="F30" s="326"/>
      <c r="G30" s="26" t="s">
        <v>184</v>
      </c>
      <c r="H30" s="26">
        <v>5.5E-2</v>
      </c>
      <c r="I30" s="138">
        <v>0.08</v>
      </c>
      <c r="J30" s="139">
        <f t="shared" si="1"/>
        <v>4.4000000000000003E-3</v>
      </c>
      <c r="K30" s="26"/>
      <c r="L30" s="26"/>
      <c r="M30" s="26"/>
      <c r="N30" s="26"/>
      <c r="O30" s="26"/>
      <c r="P30" s="26"/>
      <c r="Q30" s="26"/>
      <c r="R30" s="2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  <c r="AF30" s="26"/>
      <c r="AG30" s="26"/>
      <c r="AH30" s="26"/>
      <c r="AI30" s="26"/>
      <c r="AJ30" s="26"/>
      <c r="AK30" s="26"/>
      <c r="AL30" s="26"/>
      <c r="AM30" s="26"/>
      <c r="AN30" s="26"/>
      <c r="AO30" s="26"/>
      <c r="AP30" s="26"/>
      <c r="AQ30" s="26"/>
      <c r="AR30" s="26"/>
      <c r="AS30" s="26"/>
      <c r="AT30" s="26"/>
      <c r="AU30" s="26"/>
      <c r="AV30" s="26"/>
      <c r="AW30" s="26"/>
      <c r="AX30" s="26"/>
      <c r="AY30" s="26"/>
      <c r="AZ30" s="26"/>
      <c r="BA30" s="26"/>
      <c r="BB30" s="26"/>
      <c r="BC30" s="26"/>
      <c r="BD30" s="26"/>
      <c r="BE30" s="26"/>
      <c r="BF30" s="26"/>
      <c r="BG30" s="26"/>
      <c r="BH30" s="26"/>
      <c r="BI30" s="26"/>
    </row>
    <row r="31" spans="1:61" ht="24" customHeight="1">
      <c r="A31" s="325" t="s">
        <v>246</v>
      </c>
      <c r="B31" s="325"/>
      <c r="C31" s="325"/>
      <c r="D31" s="326" t="s">
        <v>196</v>
      </c>
      <c r="E31" s="326"/>
      <c r="F31" s="326"/>
      <c r="G31" s="26" t="s">
        <v>184</v>
      </c>
      <c r="H31" s="26">
        <v>5.5E-2</v>
      </c>
      <c r="I31" s="138">
        <v>0.67</v>
      </c>
      <c r="J31" s="139">
        <f t="shared" si="1"/>
        <v>3.6850000000000001E-2</v>
      </c>
      <c r="K31" s="26"/>
      <c r="L31" s="26"/>
      <c r="M31" s="26"/>
      <c r="N31" s="26"/>
      <c r="O31" s="26"/>
      <c r="P31" s="26"/>
      <c r="Q31" s="26"/>
      <c r="R31" s="2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  <c r="AF31" s="26"/>
      <c r="AG31" s="26"/>
      <c r="AH31" s="26"/>
      <c r="AI31" s="26"/>
      <c r="AJ31" s="26"/>
      <c r="AK31" s="26"/>
      <c r="AL31" s="26"/>
      <c r="AM31" s="26"/>
      <c r="AN31" s="26"/>
      <c r="AO31" s="26"/>
      <c r="AP31" s="26"/>
      <c r="AQ31" s="26"/>
      <c r="AR31" s="26"/>
      <c r="AS31" s="26"/>
      <c r="AT31" s="26"/>
      <c r="AU31" s="26"/>
      <c r="AV31" s="26"/>
      <c r="AW31" s="26"/>
      <c r="AX31" s="26"/>
      <c r="AY31" s="26"/>
      <c r="AZ31" s="26"/>
      <c r="BA31" s="26"/>
      <c r="BB31" s="26"/>
      <c r="BC31" s="26"/>
      <c r="BD31" s="26"/>
      <c r="BE31" s="26"/>
      <c r="BF31" s="26"/>
      <c r="BG31" s="26"/>
      <c r="BH31" s="26"/>
      <c r="BI31" s="26"/>
    </row>
    <row r="32" spans="1:61" ht="24" customHeight="1">
      <c r="A32" s="325" t="s">
        <v>197</v>
      </c>
      <c r="B32" s="325"/>
      <c r="C32" s="325"/>
      <c r="D32" s="326" t="s">
        <v>198</v>
      </c>
      <c r="E32" s="326"/>
      <c r="F32" s="326"/>
      <c r="G32" s="26" t="s">
        <v>184</v>
      </c>
      <c r="H32" s="26">
        <v>2.7E-2</v>
      </c>
      <c r="I32" s="138">
        <v>2.25</v>
      </c>
      <c r="J32" s="139">
        <f t="shared" si="1"/>
        <v>6.0749999999999998E-2</v>
      </c>
      <c r="K32" s="26"/>
      <c r="L32" s="26"/>
      <c r="M32" s="26"/>
      <c r="N32" s="26"/>
      <c r="O32" s="26"/>
      <c r="P32" s="26"/>
      <c r="Q32" s="26"/>
      <c r="R32" s="2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  <c r="AF32" s="26"/>
      <c r="AG32" s="26"/>
      <c r="AH32" s="26"/>
      <c r="AI32" s="26"/>
      <c r="AJ32" s="26"/>
      <c r="AK32" s="26"/>
      <c r="AL32" s="26"/>
      <c r="AM32" s="26"/>
      <c r="AN32" s="26"/>
      <c r="AO32" s="26"/>
      <c r="AP32" s="26"/>
      <c r="AQ32" s="26"/>
      <c r="AR32" s="26"/>
      <c r="AS32" s="26"/>
      <c r="AT32" s="26"/>
      <c r="AU32" s="26"/>
      <c r="AV32" s="26"/>
      <c r="AW32" s="26"/>
      <c r="AX32" s="26"/>
      <c r="AY32" s="26"/>
      <c r="AZ32" s="26"/>
      <c r="BA32" s="26"/>
      <c r="BB32" s="26"/>
      <c r="BC32" s="26"/>
      <c r="BD32" s="26"/>
      <c r="BE32" s="26"/>
      <c r="BF32" s="26"/>
      <c r="BG32" s="26"/>
      <c r="BH32" s="26"/>
      <c r="BI32" s="26"/>
    </row>
    <row r="33" spans="1:61" ht="12.75" customHeight="1">
      <c r="A33" s="325" t="s">
        <v>199</v>
      </c>
      <c r="B33" s="325"/>
      <c r="C33" s="325"/>
      <c r="D33" s="326" t="s">
        <v>200</v>
      </c>
      <c r="E33" s="326"/>
      <c r="F33" s="326"/>
      <c r="G33" s="26" t="s">
        <v>184</v>
      </c>
      <c r="H33" s="26">
        <v>0.01</v>
      </c>
      <c r="I33" s="138">
        <v>19.399999999999999</v>
      </c>
      <c r="J33" s="139">
        <f t="shared" si="1"/>
        <v>0.19399999999999998</v>
      </c>
      <c r="K33" s="26"/>
      <c r="L33" s="26"/>
      <c r="M33" s="26"/>
      <c r="N33" s="26"/>
      <c r="O33" s="26"/>
      <c r="P33" s="26"/>
      <c r="Q33" s="26"/>
      <c r="R33" s="2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  <c r="AF33" s="26"/>
      <c r="AG33" s="26"/>
      <c r="AH33" s="26"/>
      <c r="AI33" s="26"/>
      <c r="AJ33" s="26"/>
      <c r="AK33" s="26"/>
      <c r="AL33" s="26"/>
      <c r="AM33" s="26"/>
      <c r="AN33" s="26"/>
      <c r="AO33" s="26"/>
      <c r="AP33" s="26"/>
      <c r="AQ33" s="26"/>
      <c r="AR33" s="26"/>
      <c r="AS33" s="26"/>
      <c r="AT33" s="26"/>
      <c r="AU33" s="26"/>
      <c r="AV33" s="26"/>
      <c r="AW33" s="26"/>
      <c r="AX33" s="26"/>
      <c r="AY33" s="26"/>
      <c r="AZ33" s="26"/>
      <c r="BA33" s="26"/>
      <c r="BB33" s="26"/>
      <c r="BC33" s="26"/>
      <c r="BD33" s="26"/>
      <c r="BE33" s="26"/>
      <c r="BF33" s="26"/>
      <c r="BG33" s="26"/>
      <c r="BH33" s="26"/>
      <c r="BI33" s="26"/>
    </row>
    <row r="34" spans="1:61" ht="14.25">
      <c r="A34" s="327" t="s">
        <v>189</v>
      </c>
      <c r="B34" s="327"/>
      <c r="C34" s="327"/>
      <c r="D34" s="327"/>
      <c r="E34" s="327"/>
      <c r="F34" s="327"/>
      <c r="G34" s="327"/>
      <c r="H34" s="327"/>
      <c r="I34" s="327"/>
      <c r="J34" s="140">
        <f>J28+J29+J30+J31+J32+J33</f>
        <v>1.9696900000000002</v>
      </c>
      <c r="K34" s="26"/>
      <c r="L34" s="26"/>
      <c r="M34" s="26"/>
      <c r="N34" s="26"/>
      <c r="O34" s="26"/>
      <c r="P34" s="26"/>
      <c r="Q34" s="26"/>
      <c r="R34" s="2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  <c r="AF34" s="26"/>
      <c r="AG34" s="26"/>
      <c r="AH34" s="26"/>
      <c r="AI34" s="26"/>
      <c r="AJ34" s="26"/>
      <c r="AK34" s="26"/>
      <c r="AL34" s="26"/>
      <c r="AM34" s="26"/>
      <c r="AN34" s="26"/>
      <c r="AO34" s="26"/>
      <c r="AP34" s="26"/>
      <c r="AQ34" s="26"/>
      <c r="AR34" s="26"/>
      <c r="AS34" s="26"/>
      <c r="AT34" s="26"/>
      <c r="AU34" s="26"/>
      <c r="AV34" s="26"/>
      <c r="AW34" s="26"/>
      <c r="AX34" s="26"/>
      <c r="AY34" s="26"/>
      <c r="AZ34" s="26"/>
      <c r="BA34" s="26"/>
      <c r="BB34" s="26"/>
      <c r="BC34" s="26"/>
      <c r="BD34" s="26"/>
      <c r="BE34" s="26"/>
      <c r="BF34" s="26"/>
      <c r="BG34" s="26"/>
      <c r="BH34" s="26"/>
      <c r="BI34" s="26"/>
    </row>
    <row r="35" spans="1:61">
      <c r="A35" s="328" t="s">
        <v>4</v>
      </c>
      <c r="B35" s="328"/>
      <c r="C35" s="328"/>
      <c r="D35" s="328" t="s">
        <v>169</v>
      </c>
      <c r="E35" s="328"/>
      <c r="F35" s="328"/>
      <c r="G35" s="328"/>
      <c r="H35" s="328"/>
      <c r="I35" s="328"/>
      <c r="J35" s="131" t="s">
        <v>6</v>
      </c>
      <c r="K35" s="15"/>
      <c r="L35" s="15"/>
      <c r="M35" s="15"/>
      <c r="N35" s="15"/>
      <c r="O35" s="15"/>
      <c r="P35" s="15"/>
      <c r="Q35" s="15"/>
      <c r="R35" s="15"/>
      <c r="S35" s="15"/>
      <c r="T35" s="15"/>
      <c r="U35" s="15"/>
      <c r="V35" s="15"/>
      <c r="W35" s="15"/>
      <c r="X35" s="15"/>
      <c r="Y35" s="15"/>
      <c r="Z35" s="15"/>
      <c r="AA35" s="15"/>
      <c r="AB35" s="15"/>
      <c r="AC35" s="15"/>
      <c r="AD35" s="15"/>
      <c r="AE35" s="15"/>
      <c r="AF35" s="15"/>
      <c r="AG35" s="15"/>
      <c r="AH35" s="15"/>
      <c r="AI35" s="15"/>
      <c r="AJ35" s="15"/>
      <c r="AK35" s="15"/>
      <c r="AL35" s="15"/>
      <c r="AM35" s="15"/>
      <c r="AN35" s="15"/>
      <c r="AO35" s="15"/>
      <c r="AP35" s="15"/>
      <c r="AQ35" s="15"/>
      <c r="AR35" s="15"/>
      <c r="AS35" s="15"/>
      <c r="AT35" s="15"/>
      <c r="AU35" s="15"/>
      <c r="AV35" s="15"/>
      <c r="AW35" s="15"/>
      <c r="AX35" s="15"/>
      <c r="AY35" s="15"/>
      <c r="AZ35" s="15"/>
      <c r="BA35" s="15"/>
      <c r="BB35" s="15"/>
      <c r="BC35" s="15"/>
      <c r="BD35" s="15"/>
      <c r="BE35" s="15"/>
      <c r="BF35" s="15"/>
      <c r="BG35" s="15"/>
      <c r="BH35" s="15"/>
      <c r="BI35" s="15"/>
    </row>
    <row r="36" spans="1:61" ht="26.45" customHeight="1">
      <c r="A36" s="132" t="s">
        <v>31</v>
      </c>
      <c r="B36" s="133" t="s">
        <v>170</v>
      </c>
      <c r="C36" s="134" t="s">
        <v>63</v>
      </c>
      <c r="D36" s="329" t="s">
        <v>201</v>
      </c>
      <c r="E36" s="329"/>
      <c r="F36" s="329"/>
      <c r="G36" s="329"/>
      <c r="H36" s="329"/>
      <c r="I36" s="329"/>
      <c r="J36" s="135" t="s">
        <v>202</v>
      </c>
      <c r="K36" s="26"/>
      <c r="L36" s="26"/>
      <c r="M36" s="26"/>
      <c r="N36" s="26"/>
      <c r="O36" s="26"/>
      <c r="P36" s="26"/>
      <c r="Q36" s="26"/>
      <c r="R36" s="2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  <c r="AF36" s="26"/>
      <c r="AG36" s="26"/>
      <c r="AH36" s="26"/>
      <c r="AI36" s="26"/>
      <c r="AJ36" s="26"/>
      <c r="AK36" s="26"/>
      <c r="AL36" s="26"/>
      <c r="AM36" s="26"/>
      <c r="AN36" s="26"/>
      <c r="AO36" s="26"/>
      <c r="AP36" s="26"/>
      <c r="AQ36" s="26"/>
      <c r="AR36" s="26"/>
      <c r="AS36" s="26"/>
      <c r="AT36" s="26"/>
      <c r="AU36" s="26"/>
      <c r="AV36" s="26"/>
      <c r="AW36" s="26"/>
      <c r="AX36" s="26"/>
      <c r="AY36" s="26"/>
      <c r="AZ36" s="26"/>
      <c r="BA36" s="26"/>
      <c r="BB36" s="26"/>
      <c r="BC36" s="26"/>
      <c r="BD36" s="26"/>
      <c r="BE36" s="26"/>
      <c r="BF36" s="26"/>
      <c r="BG36" s="26"/>
      <c r="BH36" s="26"/>
      <c r="BI36" s="26"/>
    </row>
    <row r="37" spans="1:61">
      <c r="A37" s="330" t="s">
        <v>171</v>
      </c>
      <c r="B37" s="330"/>
      <c r="C37" s="330"/>
      <c r="D37" s="330"/>
      <c r="E37" s="330"/>
      <c r="F37" s="330"/>
      <c r="G37" s="330"/>
      <c r="H37" s="330"/>
      <c r="I37" s="330"/>
      <c r="J37" s="330"/>
      <c r="K37" s="26"/>
      <c r="L37" s="26"/>
      <c r="M37" s="26"/>
      <c r="N37" s="26"/>
      <c r="O37" s="26"/>
      <c r="P37" s="26"/>
      <c r="Q37" s="26"/>
      <c r="R37" s="2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  <c r="AF37" s="26"/>
      <c r="AG37" s="26"/>
      <c r="AH37" s="26"/>
      <c r="AI37" s="26"/>
      <c r="AJ37" s="26"/>
      <c r="AK37" s="26"/>
      <c r="AL37" s="26"/>
      <c r="AM37" s="26"/>
      <c r="AN37" s="26"/>
      <c r="AO37" s="26"/>
      <c r="AP37" s="26"/>
      <c r="AQ37" s="26"/>
      <c r="AR37" s="26"/>
      <c r="AS37" s="26"/>
      <c r="AT37" s="26"/>
      <c r="AU37" s="26"/>
      <c r="AV37" s="26"/>
      <c r="AW37" s="26"/>
      <c r="AX37" s="26"/>
      <c r="AY37" s="26"/>
      <c r="AZ37" s="26"/>
      <c r="BA37" s="26"/>
      <c r="BB37" s="26"/>
      <c r="BC37" s="26"/>
      <c r="BD37" s="26"/>
      <c r="BE37" s="26"/>
      <c r="BF37" s="26"/>
      <c r="BG37" s="26"/>
      <c r="BH37" s="26"/>
      <c r="BI37" s="26"/>
    </row>
    <row r="38" spans="1:61" ht="14.25">
      <c r="A38" s="331" t="s">
        <v>4</v>
      </c>
      <c r="B38" s="331"/>
      <c r="C38" s="331"/>
      <c r="D38" s="332" t="s">
        <v>172</v>
      </c>
      <c r="E38" s="332"/>
      <c r="F38" s="332"/>
      <c r="G38" s="136" t="s">
        <v>6</v>
      </c>
      <c r="H38" s="136" t="s">
        <v>173</v>
      </c>
      <c r="I38" s="136" t="s">
        <v>174</v>
      </c>
      <c r="J38" s="137" t="s">
        <v>175</v>
      </c>
      <c r="K38" s="26"/>
      <c r="L38" s="26"/>
      <c r="M38" s="26"/>
      <c r="N38" s="26"/>
      <c r="O38" s="26"/>
      <c r="P38" s="26"/>
      <c r="Q38" s="26"/>
      <c r="R38" s="2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  <c r="AF38" s="26"/>
      <c r="AG38" s="26"/>
      <c r="AH38" s="26"/>
      <c r="AI38" s="26"/>
      <c r="AJ38" s="26"/>
      <c r="AK38" s="26"/>
      <c r="AL38" s="26"/>
      <c r="AM38" s="26"/>
      <c r="AN38" s="26"/>
      <c r="AO38" s="26"/>
      <c r="AP38" s="26"/>
      <c r="AQ38" s="26"/>
      <c r="AR38" s="26"/>
      <c r="AS38" s="26"/>
      <c r="AT38" s="26"/>
      <c r="AU38" s="26"/>
      <c r="AV38" s="26"/>
      <c r="AW38" s="26"/>
      <c r="AX38" s="26"/>
      <c r="AY38" s="26"/>
      <c r="AZ38" s="26"/>
      <c r="BA38" s="26"/>
      <c r="BB38" s="26"/>
      <c r="BC38" s="26"/>
      <c r="BD38" s="26"/>
      <c r="BE38" s="26"/>
      <c r="BF38" s="26"/>
      <c r="BG38" s="26"/>
      <c r="BH38" s="26"/>
      <c r="BI38" s="26"/>
    </row>
    <row r="39" spans="1:61" ht="14.25">
      <c r="A39" s="333" t="s">
        <v>203</v>
      </c>
      <c r="B39" s="333"/>
      <c r="C39" s="333"/>
      <c r="D39" s="325" t="s">
        <v>204</v>
      </c>
      <c r="E39" s="325"/>
      <c r="F39" s="325"/>
      <c r="G39" s="26" t="s">
        <v>184</v>
      </c>
      <c r="H39" s="138">
        <v>6</v>
      </c>
      <c r="I39" s="138">
        <v>25.3</v>
      </c>
      <c r="J39" s="139">
        <f t="shared" ref="J39:J44" si="2">I39*H39</f>
        <v>151.80000000000001</v>
      </c>
      <c r="K39" s="26"/>
      <c r="L39" s="26"/>
      <c r="M39" s="26"/>
      <c r="N39" s="26"/>
      <c r="O39" s="26"/>
      <c r="P39" s="26"/>
      <c r="Q39" s="26"/>
      <c r="R39" s="2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  <c r="AF39" s="26"/>
      <c r="AG39" s="26"/>
      <c r="AH39" s="26"/>
      <c r="AI39" s="26"/>
      <c r="AJ39" s="26"/>
      <c r="AK39" s="26"/>
      <c r="AL39" s="26"/>
      <c r="AM39" s="26"/>
      <c r="AN39" s="26"/>
      <c r="AO39" s="26"/>
      <c r="AP39" s="26"/>
      <c r="AQ39" s="26"/>
      <c r="AR39" s="26"/>
      <c r="AS39" s="26"/>
      <c r="AT39" s="26"/>
      <c r="AU39" s="26"/>
      <c r="AV39" s="26"/>
      <c r="AW39" s="26"/>
      <c r="AX39" s="26"/>
      <c r="AY39" s="26"/>
      <c r="AZ39" s="26"/>
      <c r="BA39" s="26"/>
      <c r="BB39" s="26"/>
      <c r="BC39" s="26"/>
      <c r="BD39" s="26"/>
      <c r="BE39" s="26"/>
      <c r="BF39" s="26"/>
      <c r="BG39" s="26"/>
      <c r="BH39" s="26"/>
      <c r="BI39" s="26"/>
    </row>
    <row r="40" spans="1:61" ht="14.25">
      <c r="A40" s="333" t="s">
        <v>205</v>
      </c>
      <c r="B40" s="333"/>
      <c r="C40" s="333"/>
      <c r="D40" s="325" t="s">
        <v>206</v>
      </c>
      <c r="E40" s="325"/>
      <c r="F40" s="325"/>
      <c r="G40" s="26" t="s">
        <v>184</v>
      </c>
      <c r="H40" s="138">
        <v>8</v>
      </c>
      <c r="I40" s="138">
        <v>19.39</v>
      </c>
      <c r="J40" s="139">
        <f t="shared" si="2"/>
        <v>155.12</v>
      </c>
      <c r="K40" s="26"/>
      <c r="L40" s="26"/>
      <c r="M40" s="26"/>
      <c r="N40" s="26"/>
      <c r="O40" s="26"/>
      <c r="P40" s="26"/>
      <c r="Q40" s="26"/>
      <c r="R40" s="2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  <c r="AF40" s="26"/>
      <c r="AG40" s="26"/>
      <c r="AH40" s="26"/>
      <c r="AI40" s="26"/>
      <c r="AJ40" s="26"/>
      <c r="AK40" s="26"/>
      <c r="AL40" s="26"/>
      <c r="AM40" s="26"/>
      <c r="AN40" s="26"/>
      <c r="AO40" s="26"/>
      <c r="AP40" s="26"/>
      <c r="AQ40" s="26"/>
      <c r="AR40" s="26"/>
      <c r="AS40" s="26"/>
      <c r="AT40" s="26"/>
      <c r="AU40" s="26"/>
      <c r="AV40" s="26"/>
      <c r="AW40" s="26"/>
      <c r="AX40" s="26"/>
      <c r="AY40" s="26"/>
      <c r="AZ40" s="26"/>
      <c r="BA40" s="26"/>
      <c r="BB40" s="26"/>
      <c r="BC40" s="26"/>
      <c r="BD40" s="26"/>
      <c r="BE40" s="26"/>
      <c r="BF40" s="26"/>
      <c r="BG40" s="26"/>
      <c r="BH40" s="26"/>
      <c r="BI40" s="26"/>
    </row>
    <row r="41" spans="1:61" ht="24" customHeight="1">
      <c r="A41" s="325" t="s">
        <v>207</v>
      </c>
      <c r="B41" s="325"/>
      <c r="C41" s="325"/>
      <c r="D41" s="325" t="s">
        <v>208</v>
      </c>
      <c r="E41" s="325"/>
      <c r="F41" s="325"/>
      <c r="G41" s="26" t="s">
        <v>184</v>
      </c>
      <c r="H41" s="138">
        <v>4</v>
      </c>
      <c r="I41" s="138">
        <v>5.99</v>
      </c>
      <c r="J41" s="139">
        <f t="shared" si="2"/>
        <v>23.96</v>
      </c>
      <c r="K41" s="26"/>
      <c r="L41" s="26"/>
      <c r="M41" s="26"/>
      <c r="N41" s="26"/>
      <c r="O41" s="26"/>
      <c r="P41" s="26"/>
      <c r="Q41" s="26"/>
      <c r="R41" s="26"/>
      <c r="S41" s="26"/>
      <c r="T41" s="26"/>
      <c r="U41" s="26"/>
      <c r="V41" s="26"/>
      <c r="W41" s="26"/>
      <c r="X41" s="26"/>
      <c r="Y41" s="26"/>
      <c r="Z41" s="26"/>
      <c r="AA41" s="26"/>
      <c r="AB41" s="26"/>
      <c r="AC41" s="26"/>
      <c r="AD41" s="26"/>
      <c r="AE41" s="26"/>
      <c r="AF41" s="26"/>
      <c r="AG41" s="26"/>
      <c r="AH41" s="26"/>
      <c r="AI41" s="26"/>
      <c r="AJ41" s="26"/>
      <c r="AK41" s="26"/>
      <c r="AL41" s="26"/>
      <c r="AM41" s="26"/>
      <c r="AN41" s="26"/>
      <c r="AO41" s="26"/>
      <c r="AP41" s="26"/>
      <c r="AQ41" s="26"/>
      <c r="AR41" s="26"/>
      <c r="AS41" s="26"/>
      <c r="AT41" s="26"/>
      <c r="AU41" s="26"/>
      <c r="AV41" s="26"/>
      <c r="AW41" s="26"/>
      <c r="AX41" s="26"/>
      <c r="AY41" s="26"/>
      <c r="AZ41" s="26"/>
      <c r="BA41" s="26"/>
      <c r="BB41" s="26"/>
      <c r="BC41" s="26"/>
      <c r="BD41" s="26"/>
      <c r="BE41" s="26"/>
      <c r="BF41" s="26"/>
      <c r="BG41" s="26"/>
      <c r="BH41" s="26"/>
      <c r="BI41" s="26"/>
    </row>
    <row r="42" spans="1:61" ht="24" customHeight="1">
      <c r="A42" s="325" t="s">
        <v>197</v>
      </c>
      <c r="B42" s="325"/>
      <c r="C42" s="325"/>
      <c r="D42" s="325" t="s">
        <v>209</v>
      </c>
      <c r="E42" s="325"/>
      <c r="F42" s="325"/>
      <c r="G42" s="26" t="s">
        <v>210</v>
      </c>
      <c r="H42" s="138">
        <v>1</v>
      </c>
      <c r="I42" s="138">
        <v>2.25</v>
      </c>
      <c r="J42" s="139">
        <f t="shared" si="2"/>
        <v>2.25</v>
      </c>
      <c r="K42" s="26"/>
      <c r="L42" s="26"/>
      <c r="M42" s="26"/>
      <c r="N42" s="26"/>
      <c r="O42" s="26"/>
      <c r="P42" s="26"/>
      <c r="Q42" s="26"/>
      <c r="R42" s="26"/>
      <c r="S42" s="26"/>
      <c r="T42" s="26"/>
      <c r="U42" s="26"/>
      <c r="V42" s="26"/>
      <c r="W42" s="26"/>
      <c r="X42" s="26"/>
      <c r="Y42" s="26"/>
      <c r="Z42" s="26"/>
      <c r="AA42" s="26"/>
      <c r="AB42" s="26"/>
      <c r="AC42" s="26"/>
      <c r="AD42" s="26"/>
      <c r="AE42" s="26"/>
      <c r="AF42" s="26"/>
      <c r="AG42" s="26"/>
      <c r="AH42" s="26"/>
      <c r="AI42" s="26"/>
      <c r="AJ42" s="26"/>
      <c r="AK42" s="26"/>
      <c r="AL42" s="26"/>
      <c r="AM42" s="26"/>
      <c r="AN42" s="26"/>
      <c r="AO42" s="26"/>
      <c r="AP42" s="26"/>
      <c r="AQ42" s="26"/>
      <c r="AR42" s="26"/>
      <c r="AS42" s="26"/>
      <c r="AT42" s="26"/>
      <c r="AU42" s="26"/>
      <c r="AV42" s="26"/>
      <c r="AW42" s="26"/>
      <c r="AX42" s="26"/>
      <c r="AY42" s="26"/>
      <c r="AZ42" s="26"/>
      <c r="BA42" s="26"/>
      <c r="BB42" s="26"/>
      <c r="BC42" s="26"/>
      <c r="BD42" s="26"/>
      <c r="BE42" s="26"/>
      <c r="BF42" s="26"/>
      <c r="BG42" s="26"/>
      <c r="BH42" s="26"/>
      <c r="BI42" s="26"/>
    </row>
    <row r="43" spans="1:61" ht="12.75" customHeight="1">
      <c r="A43" s="325" t="s">
        <v>211</v>
      </c>
      <c r="B43" s="325"/>
      <c r="C43" s="325"/>
      <c r="D43" s="325" t="s">
        <v>212</v>
      </c>
      <c r="E43" s="325"/>
      <c r="F43" s="325"/>
      <c r="G43" s="26" t="s">
        <v>186</v>
      </c>
      <c r="H43" s="138">
        <v>3.9</v>
      </c>
      <c r="I43" s="138">
        <v>10</v>
      </c>
      <c r="J43" s="139">
        <f t="shared" si="2"/>
        <v>39</v>
      </c>
      <c r="K43" s="26"/>
      <c r="L43" s="26"/>
      <c r="M43" s="26"/>
      <c r="N43" s="26"/>
      <c r="O43" s="26"/>
      <c r="P43" s="26"/>
      <c r="Q43" s="26"/>
      <c r="R43" s="26"/>
      <c r="S43" s="26"/>
      <c r="T43" s="26"/>
      <c r="U43" s="26"/>
      <c r="V43" s="26"/>
      <c r="W43" s="26"/>
      <c r="X43" s="26"/>
      <c r="Y43" s="26"/>
      <c r="Z43" s="26"/>
      <c r="AA43" s="26"/>
      <c r="AB43" s="26"/>
      <c r="AC43" s="26"/>
      <c r="AD43" s="26"/>
      <c r="AE43" s="26"/>
      <c r="AF43" s="26"/>
      <c r="AG43" s="26"/>
      <c r="AH43" s="26"/>
      <c r="AI43" s="26"/>
      <c r="AJ43" s="26"/>
      <c r="AK43" s="26"/>
      <c r="AL43" s="26"/>
      <c r="AM43" s="26"/>
      <c r="AN43" s="26"/>
      <c r="AO43" s="26"/>
      <c r="AP43" s="26"/>
      <c r="AQ43" s="26"/>
      <c r="AR43" s="26"/>
      <c r="AS43" s="26"/>
      <c r="AT43" s="26"/>
      <c r="AU43" s="26"/>
      <c r="AV43" s="26"/>
      <c r="AW43" s="26"/>
      <c r="AX43" s="26"/>
      <c r="AY43" s="26"/>
      <c r="AZ43" s="26"/>
      <c r="BA43" s="26"/>
      <c r="BB43" s="26"/>
      <c r="BC43" s="26"/>
      <c r="BD43" s="26"/>
      <c r="BE43" s="26"/>
      <c r="BF43" s="26"/>
      <c r="BG43" s="26"/>
      <c r="BH43" s="26"/>
      <c r="BI43" s="26"/>
    </row>
    <row r="44" spans="1:61" ht="12.75" customHeight="1">
      <c r="A44" s="325" t="s">
        <v>213</v>
      </c>
      <c r="B44" s="325"/>
      <c r="C44" s="325"/>
      <c r="D44" s="325" t="s">
        <v>214</v>
      </c>
      <c r="E44" s="325"/>
      <c r="F44" s="325"/>
      <c r="G44" s="26" t="s">
        <v>215</v>
      </c>
      <c r="H44" s="138">
        <f>3.9*5</f>
        <v>19.5</v>
      </c>
      <c r="I44" s="138">
        <v>1.88</v>
      </c>
      <c r="J44" s="139">
        <f t="shared" si="2"/>
        <v>36.659999999999997</v>
      </c>
      <c r="K44" s="26"/>
      <c r="L44" s="26"/>
      <c r="M44" s="26"/>
      <c r="N44" s="26"/>
      <c r="O44" s="26"/>
      <c r="P44" s="26"/>
      <c r="Q44" s="26"/>
      <c r="R44" s="26"/>
      <c r="S44" s="26"/>
      <c r="T44" s="26"/>
      <c r="U44" s="26"/>
      <c r="V44" s="26"/>
      <c r="W44" s="26"/>
      <c r="X44" s="26"/>
      <c r="Y44" s="26"/>
      <c r="Z44" s="26"/>
      <c r="AA44" s="26"/>
      <c r="AB44" s="26"/>
      <c r="AC44" s="26"/>
      <c r="AD44" s="26"/>
      <c r="AE44" s="26"/>
      <c r="AF44" s="26"/>
      <c r="AG44" s="26"/>
      <c r="AH44" s="26"/>
      <c r="AI44" s="26"/>
      <c r="AJ44" s="26"/>
      <c r="AK44" s="26"/>
      <c r="AL44" s="26"/>
      <c r="AM44" s="26"/>
      <c r="AN44" s="26"/>
      <c r="AO44" s="26"/>
      <c r="AP44" s="26"/>
      <c r="AQ44" s="26"/>
      <c r="AR44" s="26"/>
      <c r="AS44" s="26"/>
      <c r="AT44" s="26"/>
      <c r="AU44" s="26"/>
      <c r="AV44" s="26"/>
      <c r="AW44" s="26"/>
      <c r="AX44" s="26"/>
      <c r="AY44" s="26"/>
      <c r="AZ44" s="26"/>
      <c r="BA44" s="26"/>
      <c r="BB44" s="26"/>
      <c r="BC44" s="26"/>
      <c r="BD44" s="26"/>
      <c r="BE44" s="26"/>
      <c r="BF44" s="26"/>
      <c r="BG44" s="26"/>
      <c r="BH44" s="26"/>
      <c r="BI44" s="26"/>
    </row>
    <row r="45" spans="1:61" ht="14.25">
      <c r="A45" s="327" t="s">
        <v>189</v>
      </c>
      <c r="B45" s="327"/>
      <c r="C45" s="327"/>
      <c r="D45" s="327" t="s">
        <v>216</v>
      </c>
      <c r="E45" s="327" t="s">
        <v>216</v>
      </c>
      <c r="F45" s="327" t="s">
        <v>216</v>
      </c>
      <c r="G45" s="327"/>
      <c r="H45" s="327"/>
      <c r="I45" s="327"/>
      <c r="J45" s="140">
        <f>J39+J40+J41+J42+J43+J44</f>
        <v>408.78999999999996</v>
      </c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26"/>
      <c r="V45" s="26"/>
      <c r="W45" s="26"/>
      <c r="X45" s="26"/>
      <c r="Y45" s="26"/>
      <c r="Z45" s="26"/>
      <c r="AA45" s="26"/>
      <c r="AB45" s="26"/>
      <c r="AC45" s="26"/>
      <c r="AD45" s="26"/>
      <c r="AE45" s="26"/>
      <c r="AF45" s="26"/>
      <c r="AG45" s="26"/>
      <c r="AH45" s="26"/>
      <c r="AI45" s="26"/>
      <c r="AJ45" s="26"/>
      <c r="AK45" s="26"/>
      <c r="AL45" s="26"/>
      <c r="AM45" s="26"/>
      <c r="AN45" s="26"/>
      <c r="AO45" s="26"/>
      <c r="AP45" s="26"/>
      <c r="AQ45" s="26"/>
      <c r="AR45" s="26"/>
      <c r="AS45" s="26"/>
      <c r="AT45" s="26"/>
      <c r="AU45" s="26"/>
      <c r="AV45" s="26"/>
      <c r="AW45" s="26"/>
      <c r="AX45" s="26"/>
      <c r="AY45" s="26"/>
      <c r="AZ45" s="26"/>
      <c r="BA45" s="26"/>
      <c r="BB45" s="26"/>
      <c r="BC45" s="26"/>
      <c r="BD45" s="26"/>
      <c r="BE45" s="26"/>
      <c r="BF45" s="26"/>
      <c r="BG45" s="26"/>
      <c r="BH45" s="26"/>
      <c r="BI45" s="26"/>
    </row>
    <row r="46" spans="1:61">
      <c r="A46" s="328" t="s">
        <v>4</v>
      </c>
      <c r="B46" s="328"/>
      <c r="C46" s="328"/>
      <c r="D46" s="328" t="s">
        <v>169</v>
      </c>
      <c r="E46" s="328"/>
      <c r="F46" s="328"/>
      <c r="G46" s="328"/>
      <c r="H46" s="328"/>
      <c r="I46" s="328"/>
      <c r="J46" s="131" t="s">
        <v>6</v>
      </c>
      <c r="K46" s="15"/>
      <c r="L46" s="15"/>
      <c r="M46" s="15"/>
      <c r="N46" s="15"/>
      <c r="O46" s="15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  <c r="AA46" s="15"/>
      <c r="AB46" s="15"/>
      <c r="AC46" s="15"/>
      <c r="AD46" s="15"/>
      <c r="AE46" s="15"/>
      <c r="AF46" s="15"/>
      <c r="AG46" s="15"/>
      <c r="AH46" s="15"/>
      <c r="AI46" s="15"/>
      <c r="AJ46" s="15"/>
      <c r="AK46" s="15"/>
      <c r="AL46" s="15"/>
      <c r="AM46" s="15"/>
      <c r="AN46" s="15"/>
      <c r="AO46" s="15"/>
      <c r="AP46" s="15"/>
      <c r="AQ46" s="15"/>
      <c r="AR46" s="15"/>
      <c r="AS46" s="15"/>
      <c r="AT46" s="15"/>
      <c r="AU46" s="15"/>
      <c r="AV46" s="15"/>
      <c r="AW46" s="15"/>
      <c r="AX46" s="15"/>
      <c r="AY46" s="15"/>
      <c r="AZ46" s="15"/>
      <c r="BA46" s="15"/>
      <c r="BB46" s="15"/>
      <c r="BC46" s="15"/>
      <c r="BD46" s="15"/>
      <c r="BE46" s="15"/>
      <c r="BF46" s="15"/>
      <c r="BG46" s="15"/>
      <c r="BH46" s="15"/>
      <c r="BI46" s="15"/>
    </row>
    <row r="47" spans="1:61" ht="26.45" customHeight="1">
      <c r="A47" s="132" t="s">
        <v>124</v>
      </c>
      <c r="B47" s="133" t="s">
        <v>170</v>
      </c>
      <c r="C47" s="134" t="s">
        <v>125</v>
      </c>
      <c r="D47" s="329" t="s">
        <v>126</v>
      </c>
      <c r="E47" s="329"/>
      <c r="F47" s="329"/>
      <c r="G47" s="329"/>
      <c r="H47" s="329"/>
      <c r="I47" s="329"/>
      <c r="J47" s="135" t="s">
        <v>89</v>
      </c>
      <c r="K47" s="26"/>
      <c r="L47" s="26"/>
      <c r="M47" s="26"/>
      <c r="N47" s="26"/>
      <c r="O47" s="26"/>
      <c r="P47" s="26"/>
      <c r="Q47" s="26"/>
      <c r="R47" s="26"/>
      <c r="S47" s="26"/>
      <c r="T47" s="26"/>
      <c r="U47" s="26"/>
      <c r="V47" s="26"/>
      <c r="W47" s="26"/>
      <c r="X47" s="26"/>
      <c r="Y47" s="26"/>
      <c r="Z47" s="26"/>
      <c r="AA47" s="26"/>
      <c r="AB47" s="26"/>
      <c r="AC47" s="26"/>
      <c r="AD47" s="26"/>
      <c r="AE47" s="26"/>
      <c r="AF47" s="26"/>
      <c r="AG47" s="26"/>
      <c r="AH47" s="26"/>
      <c r="AI47" s="26"/>
      <c r="AJ47" s="26"/>
      <c r="AK47" s="26"/>
      <c r="AL47" s="26"/>
      <c r="AM47" s="26"/>
      <c r="AN47" s="26"/>
      <c r="AO47" s="26"/>
      <c r="AP47" s="26"/>
      <c r="AQ47" s="26"/>
      <c r="AR47" s="26"/>
      <c r="AS47" s="26"/>
      <c r="AT47" s="26"/>
      <c r="AU47" s="26"/>
      <c r="AV47" s="26"/>
      <c r="AW47" s="26"/>
      <c r="AX47" s="26"/>
      <c r="AY47" s="26"/>
      <c r="AZ47" s="26"/>
      <c r="BA47" s="26"/>
      <c r="BB47" s="26"/>
      <c r="BC47" s="26"/>
      <c r="BD47" s="26"/>
      <c r="BE47" s="26"/>
      <c r="BF47" s="26"/>
      <c r="BG47" s="26"/>
      <c r="BH47" s="26"/>
      <c r="BI47" s="26"/>
    </row>
    <row r="48" spans="1:61">
      <c r="A48" s="330" t="s">
        <v>171</v>
      </c>
      <c r="B48" s="330"/>
      <c r="C48" s="330"/>
      <c r="D48" s="330"/>
      <c r="E48" s="330"/>
      <c r="F48" s="330"/>
      <c r="G48" s="330"/>
      <c r="H48" s="330"/>
      <c r="I48" s="330"/>
      <c r="J48" s="330"/>
      <c r="K48" s="26"/>
      <c r="L48" s="26"/>
      <c r="M48" s="26"/>
      <c r="N48" s="26"/>
      <c r="O48" s="26"/>
      <c r="P48" s="26"/>
      <c r="Q48" s="26"/>
      <c r="R48" s="26"/>
      <c r="S48" s="26"/>
      <c r="T48" s="26"/>
      <c r="U48" s="26"/>
      <c r="V48" s="26"/>
      <c r="W48" s="26"/>
      <c r="X48" s="26"/>
      <c r="Y48" s="26"/>
      <c r="Z48" s="26"/>
      <c r="AA48" s="26"/>
      <c r="AB48" s="26"/>
      <c r="AC48" s="26"/>
      <c r="AD48" s="26"/>
      <c r="AE48" s="26"/>
      <c r="AF48" s="26"/>
      <c r="AG48" s="26"/>
      <c r="AH48" s="26"/>
      <c r="AI48" s="26"/>
      <c r="AJ48" s="26"/>
      <c r="AK48" s="26"/>
      <c r="AL48" s="26"/>
      <c r="AM48" s="26"/>
      <c r="AN48" s="26"/>
      <c r="AO48" s="26"/>
      <c r="AP48" s="26"/>
      <c r="AQ48" s="26"/>
      <c r="AR48" s="26"/>
      <c r="AS48" s="26"/>
      <c r="AT48" s="26"/>
      <c r="AU48" s="26"/>
      <c r="AV48" s="26"/>
      <c r="AW48" s="26"/>
      <c r="AX48" s="26"/>
      <c r="AY48" s="26"/>
      <c r="AZ48" s="26"/>
      <c r="BA48" s="26"/>
      <c r="BB48" s="26"/>
      <c r="BC48" s="26"/>
      <c r="BD48" s="26"/>
      <c r="BE48" s="26"/>
      <c r="BF48" s="26"/>
      <c r="BG48" s="26"/>
      <c r="BH48" s="26"/>
      <c r="BI48" s="26"/>
    </row>
    <row r="49" spans="1:61" ht="14.25">
      <c r="A49" s="331" t="s">
        <v>4</v>
      </c>
      <c r="B49" s="331"/>
      <c r="C49" s="331"/>
      <c r="D49" s="332" t="s">
        <v>172</v>
      </c>
      <c r="E49" s="332"/>
      <c r="F49" s="332"/>
      <c r="G49" s="136" t="s">
        <v>6</v>
      </c>
      <c r="H49" s="136" t="s">
        <v>173</v>
      </c>
      <c r="I49" s="136" t="s">
        <v>174</v>
      </c>
      <c r="J49" s="137" t="s">
        <v>175</v>
      </c>
      <c r="K49" s="26"/>
      <c r="L49" s="26"/>
      <c r="M49" s="26"/>
      <c r="N49" s="26"/>
      <c r="O49" s="26"/>
      <c r="P49" s="26"/>
      <c r="Q49" s="26"/>
      <c r="R49" s="26"/>
      <c r="S49" s="26"/>
      <c r="T49" s="26"/>
      <c r="U49" s="26"/>
      <c r="V49" s="26"/>
      <c r="W49" s="26"/>
      <c r="X49" s="26"/>
      <c r="Y49" s="26"/>
      <c r="Z49" s="26"/>
      <c r="AA49" s="26"/>
      <c r="AB49" s="26"/>
      <c r="AC49" s="26"/>
      <c r="AD49" s="26"/>
      <c r="AE49" s="26"/>
      <c r="AF49" s="26"/>
      <c r="AG49" s="26"/>
      <c r="AH49" s="26"/>
      <c r="AI49" s="26"/>
      <c r="AJ49" s="26"/>
      <c r="AK49" s="26"/>
      <c r="AL49" s="26"/>
      <c r="AM49" s="26"/>
      <c r="AN49" s="26"/>
      <c r="AO49" s="26"/>
      <c r="AP49" s="26"/>
      <c r="AQ49" s="26"/>
      <c r="AR49" s="26"/>
      <c r="AS49" s="26"/>
      <c r="AT49" s="26"/>
      <c r="AU49" s="26"/>
      <c r="AV49" s="26"/>
      <c r="AW49" s="26"/>
      <c r="AX49" s="26"/>
      <c r="AY49" s="26"/>
      <c r="AZ49" s="26"/>
      <c r="BA49" s="26"/>
      <c r="BB49" s="26"/>
      <c r="BC49" s="26"/>
      <c r="BD49" s="26"/>
      <c r="BE49" s="26"/>
      <c r="BF49" s="26"/>
      <c r="BG49" s="26"/>
      <c r="BH49" s="26"/>
      <c r="BI49" s="26"/>
    </row>
    <row r="50" spans="1:61" ht="24" customHeight="1">
      <c r="A50" s="333" t="s">
        <v>217</v>
      </c>
      <c r="B50" s="333"/>
      <c r="C50" s="333"/>
      <c r="D50" s="326" t="s">
        <v>218</v>
      </c>
      <c r="E50" s="326"/>
      <c r="F50" s="326"/>
      <c r="G50" s="26" t="s">
        <v>180</v>
      </c>
      <c r="H50" s="26">
        <v>4.5999999999999996</v>
      </c>
      <c r="I50" s="138">
        <v>10.94</v>
      </c>
      <c r="J50" s="139">
        <f t="shared" ref="J50:J57" si="3">I50*H50</f>
        <v>50.323999999999991</v>
      </c>
      <c r="K50" s="26"/>
      <c r="L50" s="26"/>
      <c r="M50" s="26"/>
      <c r="N50" s="26"/>
      <c r="O50" s="26"/>
      <c r="P50" s="26"/>
      <c r="Q50" s="26"/>
      <c r="R50" s="26"/>
      <c r="S50" s="26"/>
      <c r="T50" s="26"/>
      <c r="U50" s="26"/>
      <c r="V50" s="26"/>
      <c r="W50" s="26"/>
      <c r="X50" s="26"/>
      <c r="Y50" s="26"/>
      <c r="Z50" s="26"/>
      <c r="AA50" s="26"/>
      <c r="AB50" s="26"/>
      <c r="AC50" s="26"/>
      <c r="AD50" s="26"/>
      <c r="AE50" s="26"/>
      <c r="AF50" s="26"/>
      <c r="AG50" s="26"/>
      <c r="AH50" s="26"/>
      <c r="AI50" s="26"/>
      <c r="AJ50" s="26"/>
      <c r="AK50" s="26"/>
      <c r="AL50" s="26"/>
      <c r="AM50" s="26"/>
      <c r="AN50" s="26"/>
      <c r="AO50" s="26"/>
      <c r="AP50" s="26"/>
      <c r="AQ50" s="26"/>
      <c r="AR50" s="26"/>
      <c r="AS50" s="26"/>
      <c r="AT50" s="26"/>
      <c r="AU50" s="26"/>
      <c r="AV50" s="26"/>
      <c r="AW50" s="26"/>
      <c r="AX50" s="26"/>
      <c r="AY50" s="26"/>
      <c r="AZ50" s="26"/>
      <c r="BA50" s="26"/>
      <c r="BB50" s="26"/>
      <c r="BC50" s="26"/>
      <c r="BD50" s="26"/>
      <c r="BE50" s="26"/>
      <c r="BF50" s="26"/>
      <c r="BG50" s="26"/>
      <c r="BH50" s="26"/>
      <c r="BI50" s="26"/>
    </row>
    <row r="51" spans="1:61" ht="14.25">
      <c r="A51" s="333" t="s">
        <v>219</v>
      </c>
      <c r="B51" s="333"/>
      <c r="C51" s="333"/>
      <c r="D51" s="325" t="s">
        <v>220</v>
      </c>
      <c r="E51" s="325"/>
      <c r="F51" s="325"/>
      <c r="G51" s="26" t="s">
        <v>221</v>
      </c>
      <c r="H51" s="26">
        <v>0.81640000000000001</v>
      </c>
      <c r="I51" s="138">
        <v>101.92</v>
      </c>
      <c r="J51" s="139">
        <f t="shared" si="3"/>
        <v>83.207487999999998</v>
      </c>
      <c r="K51" s="26"/>
      <c r="L51" s="26"/>
      <c r="M51" s="26"/>
      <c r="N51" s="26"/>
      <c r="O51" s="26"/>
      <c r="P51" s="26"/>
      <c r="Q51" s="26"/>
      <c r="R51" s="26"/>
      <c r="S51" s="26"/>
      <c r="T51" s="26"/>
      <c r="U51" s="26"/>
      <c r="V51" s="26"/>
      <c r="W51" s="26"/>
      <c r="X51" s="26"/>
      <c r="Y51" s="26"/>
      <c r="Z51" s="26"/>
      <c r="AA51" s="26"/>
      <c r="AB51" s="26"/>
      <c r="AC51" s="26"/>
      <c r="AD51" s="26"/>
      <c r="AE51" s="26"/>
      <c r="AF51" s="26"/>
      <c r="AG51" s="26"/>
      <c r="AH51" s="26"/>
      <c r="AI51" s="26"/>
      <c r="AJ51" s="26"/>
      <c r="AK51" s="26"/>
      <c r="AL51" s="26"/>
      <c r="AM51" s="26"/>
      <c r="AN51" s="26"/>
      <c r="AO51" s="26"/>
      <c r="AP51" s="26"/>
      <c r="AQ51" s="26"/>
      <c r="AR51" s="26"/>
      <c r="AS51" s="26"/>
      <c r="AT51" s="26"/>
      <c r="AU51" s="26"/>
      <c r="AV51" s="26"/>
      <c r="AW51" s="26"/>
      <c r="AX51" s="26"/>
      <c r="AY51" s="26"/>
      <c r="AZ51" s="26"/>
      <c r="BA51" s="26"/>
      <c r="BB51" s="26"/>
      <c r="BC51" s="26"/>
      <c r="BD51" s="26"/>
      <c r="BE51" s="26"/>
      <c r="BF51" s="26"/>
      <c r="BG51" s="26"/>
      <c r="BH51" s="26"/>
      <c r="BI51" s="26"/>
    </row>
    <row r="52" spans="1:61" ht="46.9" customHeight="1">
      <c r="A52" s="325" t="s">
        <v>222</v>
      </c>
      <c r="B52" s="325"/>
      <c r="C52" s="325"/>
      <c r="D52" s="326" t="s">
        <v>223</v>
      </c>
      <c r="E52" s="326"/>
      <c r="F52" s="326"/>
      <c r="G52" s="26" t="s">
        <v>224</v>
      </c>
      <c r="H52" s="26">
        <v>3.2500000000000001E-2</v>
      </c>
      <c r="I52" s="138">
        <v>161.94</v>
      </c>
      <c r="J52" s="139">
        <f t="shared" si="3"/>
        <v>5.2630499999999998</v>
      </c>
      <c r="K52" s="26"/>
      <c r="L52" s="26"/>
      <c r="M52" s="26"/>
      <c r="N52" s="26"/>
      <c r="O52" s="26"/>
      <c r="P52" s="26"/>
      <c r="Q52" s="26"/>
      <c r="R52" s="26"/>
      <c r="S52" s="26"/>
      <c r="T52" s="26"/>
      <c r="U52" s="26"/>
      <c r="V52" s="26"/>
      <c r="W52" s="26"/>
      <c r="X52" s="26"/>
      <c r="Y52" s="26"/>
      <c r="Z52" s="26"/>
      <c r="AA52" s="26"/>
      <c r="AB52" s="26"/>
      <c r="AC52" s="26"/>
      <c r="AD52" s="26"/>
      <c r="AE52" s="26"/>
      <c r="AF52" s="26"/>
      <c r="AG52" s="26"/>
      <c r="AH52" s="26"/>
      <c r="AI52" s="26"/>
      <c r="AJ52" s="26"/>
      <c r="AK52" s="26"/>
      <c r="AL52" s="26"/>
      <c r="AM52" s="26"/>
      <c r="AN52" s="26"/>
      <c r="AO52" s="26"/>
      <c r="AP52" s="26"/>
      <c r="AQ52" s="26"/>
      <c r="AR52" s="26"/>
      <c r="AS52" s="26"/>
      <c r="AT52" s="26"/>
      <c r="AU52" s="26"/>
      <c r="AV52" s="26"/>
      <c r="AW52" s="26"/>
      <c r="AX52" s="26"/>
      <c r="AY52" s="26"/>
      <c r="AZ52" s="26"/>
      <c r="BA52" s="26"/>
      <c r="BB52" s="26"/>
      <c r="BC52" s="26"/>
      <c r="BD52" s="26"/>
      <c r="BE52" s="26"/>
      <c r="BF52" s="26"/>
      <c r="BG52" s="26"/>
      <c r="BH52" s="26"/>
      <c r="BI52" s="26"/>
    </row>
    <row r="53" spans="1:61" ht="46.9" customHeight="1">
      <c r="A53" s="325" t="s">
        <v>225</v>
      </c>
      <c r="B53" s="325"/>
      <c r="C53" s="325"/>
      <c r="D53" s="326" t="s">
        <v>226</v>
      </c>
      <c r="E53" s="326"/>
      <c r="F53" s="326"/>
      <c r="G53" s="26" t="s">
        <v>224</v>
      </c>
      <c r="H53" s="26">
        <v>9.6799999999999997E-2</v>
      </c>
      <c r="I53" s="138">
        <v>65.98</v>
      </c>
      <c r="J53" s="139">
        <f t="shared" si="3"/>
        <v>6.3868640000000001</v>
      </c>
      <c r="K53" s="26"/>
      <c r="L53" s="26"/>
      <c r="M53" s="26"/>
      <c r="N53" s="26"/>
      <c r="O53" s="26"/>
      <c r="P53" s="26"/>
      <c r="Q53" s="26"/>
      <c r="R53" s="26"/>
      <c r="S53" s="26"/>
      <c r="T53" s="26"/>
      <c r="U53" s="26"/>
      <c r="V53" s="26"/>
      <c r="W53" s="26"/>
      <c r="X53" s="26"/>
      <c r="Y53" s="26"/>
      <c r="Z53" s="26"/>
      <c r="AA53" s="26"/>
      <c r="AB53" s="26"/>
      <c r="AC53" s="26"/>
      <c r="AD53" s="26"/>
      <c r="AE53" s="26"/>
      <c r="AF53" s="26"/>
      <c r="AG53" s="26"/>
      <c r="AH53" s="26"/>
      <c r="AI53" s="26"/>
      <c r="AJ53" s="26"/>
      <c r="AK53" s="26"/>
      <c r="AL53" s="26"/>
      <c r="AM53" s="26"/>
      <c r="AN53" s="26"/>
      <c r="AO53" s="26"/>
      <c r="AP53" s="26"/>
      <c r="AQ53" s="26"/>
      <c r="AR53" s="26"/>
      <c r="AS53" s="26"/>
      <c r="AT53" s="26"/>
      <c r="AU53" s="26"/>
      <c r="AV53" s="26"/>
      <c r="AW53" s="26"/>
      <c r="AX53" s="26"/>
      <c r="AY53" s="26"/>
      <c r="AZ53" s="26"/>
      <c r="BA53" s="26"/>
      <c r="BB53" s="26"/>
      <c r="BC53" s="26"/>
      <c r="BD53" s="26"/>
      <c r="BE53" s="26"/>
      <c r="BF53" s="26"/>
      <c r="BG53" s="26"/>
      <c r="BH53" s="26"/>
      <c r="BI53" s="26"/>
    </row>
    <row r="54" spans="1:61" ht="35.450000000000003" customHeight="1">
      <c r="A54" s="325" t="s">
        <v>247</v>
      </c>
      <c r="B54" s="325"/>
      <c r="C54" s="325"/>
      <c r="D54" s="326" t="s">
        <v>227</v>
      </c>
      <c r="E54" s="326"/>
      <c r="F54" s="326"/>
      <c r="G54" s="26" t="s">
        <v>178</v>
      </c>
      <c r="H54" s="26">
        <v>1.0029999999999999</v>
      </c>
      <c r="I54" s="138">
        <v>11.32</v>
      </c>
      <c r="J54" s="139">
        <f t="shared" si="3"/>
        <v>11.353959999999999</v>
      </c>
      <c r="K54" s="26"/>
      <c r="L54" s="26"/>
      <c r="M54" s="26"/>
      <c r="N54" s="26"/>
      <c r="O54" s="26"/>
      <c r="P54" s="26"/>
      <c r="Q54" s="26"/>
      <c r="R54" s="26"/>
      <c r="S54" s="26"/>
      <c r="T54" s="26"/>
      <c r="U54" s="26"/>
      <c r="V54" s="26"/>
      <c r="W54" s="26"/>
      <c r="X54" s="26"/>
      <c r="Y54" s="26"/>
      <c r="Z54" s="26"/>
      <c r="AA54" s="26"/>
      <c r="AB54" s="26"/>
      <c r="AC54" s="26"/>
      <c r="AD54" s="26"/>
      <c r="AE54" s="26"/>
      <c r="AF54" s="26"/>
      <c r="AG54" s="26"/>
      <c r="AH54" s="26"/>
      <c r="AI54" s="26"/>
      <c r="AJ54" s="26"/>
      <c r="AK54" s="26"/>
      <c r="AL54" s="26"/>
      <c r="AM54" s="26"/>
      <c r="AN54" s="26"/>
      <c r="AO54" s="26"/>
      <c r="AP54" s="26"/>
      <c r="AQ54" s="26"/>
      <c r="AR54" s="26"/>
      <c r="AS54" s="26"/>
      <c r="AT54" s="26"/>
      <c r="AU54" s="26"/>
      <c r="AV54" s="26"/>
      <c r="AW54" s="26"/>
      <c r="AX54" s="26"/>
      <c r="AY54" s="26"/>
      <c r="AZ54" s="26"/>
      <c r="BA54" s="26"/>
      <c r="BB54" s="26"/>
      <c r="BC54" s="26"/>
      <c r="BD54" s="26"/>
      <c r="BE54" s="26"/>
      <c r="BF54" s="26"/>
      <c r="BG54" s="26"/>
      <c r="BH54" s="26"/>
      <c r="BI54" s="26"/>
    </row>
    <row r="55" spans="1:61" ht="12.75" customHeight="1">
      <c r="A55" s="325" t="s">
        <v>228</v>
      </c>
      <c r="B55" s="325"/>
      <c r="C55" s="325"/>
      <c r="D55" s="326" t="s">
        <v>229</v>
      </c>
      <c r="E55" s="326"/>
      <c r="F55" s="326"/>
      <c r="G55" s="26" t="s">
        <v>184</v>
      </c>
      <c r="H55" s="26">
        <v>6.4600000000000005E-2</v>
      </c>
      <c r="I55" s="138">
        <v>26.31</v>
      </c>
      <c r="J55" s="139">
        <f t="shared" si="3"/>
        <v>1.6996260000000001</v>
      </c>
      <c r="K55" s="26"/>
      <c r="L55" s="26"/>
      <c r="M55" s="26"/>
      <c r="N55" s="26"/>
      <c r="O55" s="26"/>
      <c r="P55" s="26"/>
      <c r="Q55" s="26"/>
      <c r="R55" s="26"/>
      <c r="S55" s="26"/>
      <c r="T55" s="26"/>
      <c r="U55" s="26"/>
      <c r="V55" s="26"/>
      <c r="W55" s="26"/>
      <c r="X55" s="26"/>
      <c r="Y55" s="26"/>
      <c r="Z55" s="26"/>
      <c r="AA55" s="26"/>
      <c r="AB55" s="26"/>
      <c r="AC55" s="26"/>
      <c r="AD55" s="26"/>
      <c r="AE55" s="26"/>
      <c r="AF55" s="26"/>
      <c r="AG55" s="26"/>
      <c r="AH55" s="26"/>
      <c r="AI55" s="26"/>
      <c r="AJ55" s="26"/>
      <c r="AK55" s="26"/>
      <c r="AL55" s="26"/>
      <c r="AM55" s="26"/>
      <c r="AN55" s="26"/>
      <c r="AO55" s="26"/>
      <c r="AP55" s="26"/>
      <c r="AQ55" s="26"/>
      <c r="AR55" s="26"/>
      <c r="AS55" s="26"/>
      <c r="AT55" s="26"/>
      <c r="AU55" s="26"/>
      <c r="AV55" s="26"/>
      <c r="AW55" s="26"/>
      <c r="AX55" s="26"/>
      <c r="AY55" s="26"/>
      <c r="AZ55" s="26"/>
      <c r="BA55" s="26"/>
      <c r="BB55" s="26"/>
      <c r="BC55" s="26"/>
      <c r="BD55" s="26"/>
      <c r="BE55" s="26"/>
      <c r="BF55" s="26"/>
      <c r="BG55" s="26"/>
      <c r="BH55" s="26"/>
      <c r="BI55" s="26"/>
    </row>
    <row r="56" spans="1:61" ht="12.75" customHeight="1">
      <c r="A56" s="325" t="s">
        <v>187</v>
      </c>
      <c r="B56" s="325"/>
      <c r="C56" s="325"/>
      <c r="D56" s="326" t="s">
        <v>188</v>
      </c>
      <c r="E56" s="326"/>
      <c r="F56" s="326"/>
      <c r="G56" s="26" t="s">
        <v>184</v>
      </c>
      <c r="H56" s="26">
        <v>0.19389999999999999</v>
      </c>
      <c r="I56" s="138">
        <v>18.73</v>
      </c>
      <c r="J56" s="139">
        <f t="shared" si="3"/>
        <v>3.6317469999999998</v>
      </c>
      <c r="K56" s="26"/>
      <c r="L56" s="26"/>
      <c r="M56" s="26"/>
      <c r="N56" s="26"/>
      <c r="O56" s="26"/>
      <c r="P56" s="26"/>
      <c r="Q56" s="26"/>
      <c r="R56" s="26"/>
      <c r="S56" s="26"/>
      <c r="T56" s="26"/>
      <c r="U56" s="26"/>
      <c r="V56" s="26"/>
      <c r="W56" s="26"/>
      <c r="X56" s="26"/>
      <c r="Y56" s="26"/>
      <c r="Z56" s="26"/>
      <c r="AA56" s="26"/>
      <c r="AB56" s="26"/>
      <c r="AC56" s="26"/>
      <c r="AD56" s="26"/>
      <c r="AE56" s="26"/>
      <c r="AF56" s="26"/>
      <c r="AG56" s="26"/>
      <c r="AH56" s="26"/>
      <c r="AI56" s="26"/>
      <c r="AJ56" s="26"/>
      <c r="AK56" s="26"/>
      <c r="AL56" s="26"/>
      <c r="AM56" s="26"/>
      <c r="AN56" s="26"/>
      <c r="AO56" s="26"/>
      <c r="AP56" s="26"/>
      <c r="AQ56" s="26"/>
      <c r="AR56" s="26"/>
      <c r="AS56" s="26"/>
      <c r="AT56" s="26"/>
      <c r="AU56" s="26"/>
      <c r="AV56" s="26"/>
      <c r="AW56" s="26"/>
      <c r="AX56" s="26"/>
      <c r="AY56" s="26"/>
      <c r="AZ56" s="26"/>
      <c r="BA56" s="26"/>
      <c r="BB56" s="26"/>
      <c r="BC56" s="26"/>
      <c r="BD56" s="26"/>
      <c r="BE56" s="26"/>
      <c r="BF56" s="26"/>
      <c r="BG56" s="26"/>
      <c r="BH56" s="26"/>
      <c r="BI56" s="26"/>
    </row>
    <row r="57" spans="1:61" ht="46.9" customHeight="1">
      <c r="A57" s="325" t="s">
        <v>230</v>
      </c>
      <c r="B57" s="325"/>
      <c r="C57" s="325"/>
      <c r="D57" s="326" t="s">
        <v>231</v>
      </c>
      <c r="E57" s="326"/>
      <c r="F57" s="326"/>
      <c r="G57" s="26" t="s">
        <v>221</v>
      </c>
      <c r="H57" s="26">
        <v>0.75</v>
      </c>
      <c r="I57" s="138">
        <v>7.79</v>
      </c>
      <c r="J57" s="139">
        <f t="shared" si="3"/>
        <v>5.8425000000000002</v>
      </c>
      <c r="K57" s="26"/>
      <c r="L57" s="26"/>
      <c r="M57" s="26"/>
      <c r="N57" s="26"/>
      <c r="O57" s="26"/>
      <c r="P57" s="26"/>
      <c r="Q57" s="26"/>
      <c r="R57" s="26"/>
      <c r="S57" s="26"/>
      <c r="T57" s="26"/>
      <c r="U57" s="26"/>
      <c r="V57" s="26"/>
      <c r="W57" s="26"/>
      <c r="X57" s="26"/>
      <c r="Y57" s="26"/>
      <c r="Z57" s="26"/>
      <c r="AA57" s="26"/>
      <c r="AB57" s="26"/>
      <c r="AC57" s="26"/>
      <c r="AD57" s="26"/>
      <c r="AE57" s="26"/>
      <c r="AF57" s="26"/>
      <c r="AG57" s="26"/>
      <c r="AH57" s="26"/>
      <c r="AI57" s="26"/>
      <c r="AJ57" s="26"/>
      <c r="AK57" s="26"/>
      <c r="AL57" s="26"/>
      <c r="AM57" s="26"/>
      <c r="AN57" s="26"/>
      <c r="AO57" s="26"/>
      <c r="AP57" s="26"/>
      <c r="AQ57" s="26"/>
      <c r="AR57" s="26"/>
      <c r="AS57" s="26"/>
      <c r="AT57" s="26"/>
      <c r="AU57" s="26"/>
      <c r="AV57" s="26"/>
      <c r="AW57" s="26"/>
      <c r="AX57" s="26"/>
      <c r="AY57" s="26"/>
      <c r="AZ57" s="26"/>
      <c r="BA57" s="26"/>
      <c r="BB57" s="26"/>
      <c r="BC57" s="26"/>
      <c r="BD57" s="26"/>
      <c r="BE57" s="26"/>
      <c r="BF57" s="26"/>
      <c r="BG57" s="26"/>
      <c r="BH57" s="26"/>
      <c r="BI57" s="26"/>
    </row>
    <row r="58" spans="1:61" ht="14.25">
      <c r="A58" s="327" t="s">
        <v>189</v>
      </c>
      <c r="B58" s="327"/>
      <c r="C58" s="327"/>
      <c r="D58" s="327"/>
      <c r="E58" s="327"/>
      <c r="F58" s="327"/>
      <c r="G58" s="327"/>
      <c r="H58" s="327"/>
      <c r="I58" s="327"/>
      <c r="J58" s="140">
        <f>J50+J51+J52+J53+J54+J55+J56+J57</f>
        <v>167.70923499999998</v>
      </c>
      <c r="K58" s="26"/>
      <c r="L58" s="26"/>
      <c r="M58" s="26"/>
      <c r="N58" s="26"/>
      <c r="O58" s="26"/>
      <c r="P58" s="26"/>
      <c r="Q58" s="26"/>
      <c r="R58" s="26"/>
      <c r="S58" s="26"/>
      <c r="T58" s="26"/>
      <c r="U58" s="26"/>
      <c r="V58" s="26"/>
      <c r="W58" s="26"/>
      <c r="X58" s="26"/>
      <c r="Y58" s="26"/>
      <c r="Z58" s="26"/>
      <c r="AA58" s="26"/>
      <c r="AB58" s="26"/>
      <c r="AC58" s="26"/>
      <c r="AD58" s="26"/>
      <c r="AE58" s="26"/>
      <c r="AF58" s="26"/>
      <c r="AG58" s="26"/>
      <c r="AH58" s="26"/>
      <c r="AI58" s="26"/>
      <c r="AJ58" s="26"/>
      <c r="AK58" s="26"/>
      <c r="AL58" s="26"/>
      <c r="AM58" s="26"/>
      <c r="AN58" s="26"/>
      <c r="AO58" s="26"/>
      <c r="AP58" s="26"/>
      <c r="AQ58" s="26"/>
      <c r="AR58" s="26"/>
      <c r="AS58" s="26"/>
      <c r="AT58" s="26"/>
      <c r="AU58" s="26"/>
      <c r="AV58" s="26"/>
      <c r="AW58" s="26"/>
      <c r="AX58" s="26"/>
      <c r="AY58" s="26"/>
      <c r="AZ58" s="26"/>
      <c r="BA58" s="26"/>
      <c r="BB58" s="26"/>
      <c r="BC58" s="26"/>
      <c r="BD58" s="26"/>
      <c r="BE58" s="26"/>
      <c r="BF58" s="26"/>
      <c r="BG58" s="26"/>
      <c r="BH58" s="26"/>
      <c r="BI58" s="26"/>
    </row>
    <row r="59" spans="1:61">
      <c r="A59" s="328" t="s">
        <v>4</v>
      </c>
      <c r="B59" s="328"/>
      <c r="C59" s="328"/>
      <c r="D59" s="328" t="s">
        <v>169</v>
      </c>
      <c r="E59" s="328"/>
      <c r="F59" s="328"/>
      <c r="G59" s="328"/>
      <c r="H59" s="328"/>
      <c r="I59" s="328"/>
      <c r="J59" s="131" t="s">
        <v>6</v>
      </c>
      <c r="K59" s="15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  <c r="AA59" s="15"/>
      <c r="AB59" s="15"/>
      <c r="AC59" s="15"/>
      <c r="AD59" s="15"/>
      <c r="AE59" s="15"/>
      <c r="AF59" s="15"/>
      <c r="AG59" s="15"/>
      <c r="AH59" s="15"/>
      <c r="AI59" s="15"/>
      <c r="AJ59" s="15"/>
      <c r="AK59" s="15"/>
      <c r="AL59" s="15"/>
      <c r="AM59" s="15"/>
      <c r="AN59" s="15"/>
      <c r="AO59" s="15"/>
      <c r="AP59" s="15"/>
      <c r="AQ59" s="15"/>
      <c r="AR59" s="15"/>
      <c r="AS59" s="15"/>
      <c r="AT59" s="15"/>
      <c r="AU59" s="15"/>
      <c r="AV59" s="15"/>
      <c r="AW59" s="15"/>
      <c r="AX59" s="15"/>
      <c r="AY59" s="15"/>
      <c r="AZ59" s="15"/>
      <c r="BA59" s="15"/>
      <c r="BB59" s="15"/>
      <c r="BC59" s="15"/>
      <c r="BD59" s="15"/>
      <c r="BE59" s="15"/>
      <c r="BF59" s="15"/>
      <c r="BG59" s="15"/>
      <c r="BH59" s="15"/>
      <c r="BI59" s="15"/>
    </row>
    <row r="60" spans="1:61" ht="26.45" customHeight="1">
      <c r="A60" s="132" t="s">
        <v>128</v>
      </c>
      <c r="B60" s="133" t="s">
        <v>170</v>
      </c>
      <c r="C60" s="134" t="s">
        <v>129</v>
      </c>
      <c r="D60" s="329" t="s">
        <v>130</v>
      </c>
      <c r="E60" s="329"/>
      <c r="F60" s="329"/>
      <c r="G60" s="329"/>
      <c r="H60" s="329"/>
      <c r="I60" s="329"/>
      <c r="J60" s="135" t="s">
        <v>89</v>
      </c>
      <c r="K60" s="26"/>
      <c r="L60" s="26"/>
      <c r="M60" s="26"/>
      <c r="N60" s="26"/>
      <c r="O60" s="26"/>
      <c r="P60" s="26"/>
      <c r="Q60" s="26"/>
      <c r="R60" s="26"/>
      <c r="S60" s="26"/>
      <c r="T60" s="26"/>
      <c r="U60" s="26"/>
      <c r="V60" s="26"/>
      <c r="W60" s="26"/>
      <c r="X60" s="26"/>
      <c r="Y60" s="26"/>
      <c r="Z60" s="26"/>
      <c r="AA60" s="26"/>
      <c r="AB60" s="26"/>
      <c r="AC60" s="26"/>
      <c r="AD60" s="26"/>
      <c r="AE60" s="26"/>
      <c r="AF60" s="26"/>
      <c r="AG60" s="26"/>
      <c r="AH60" s="26"/>
      <c r="AI60" s="26"/>
      <c r="AJ60" s="26"/>
      <c r="AK60" s="26"/>
      <c r="AL60" s="26"/>
      <c r="AM60" s="26"/>
      <c r="AN60" s="26"/>
      <c r="AO60" s="26"/>
      <c r="AP60" s="26"/>
      <c r="AQ60" s="26"/>
      <c r="AR60" s="26"/>
      <c r="AS60" s="26"/>
      <c r="AT60" s="26"/>
      <c r="AU60" s="26"/>
      <c r="AV60" s="26"/>
      <c r="AW60" s="26"/>
      <c r="AX60" s="26"/>
      <c r="AY60" s="26"/>
      <c r="AZ60" s="26"/>
      <c r="BA60" s="26"/>
      <c r="BB60" s="26"/>
      <c r="BC60" s="26"/>
      <c r="BD60" s="26"/>
      <c r="BE60" s="26"/>
      <c r="BF60" s="26"/>
      <c r="BG60" s="26"/>
      <c r="BH60" s="26"/>
      <c r="BI60" s="26"/>
    </row>
    <row r="61" spans="1:61">
      <c r="A61" s="330" t="s">
        <v>171</v>
      </c>
      <c r="B61" s="330"/>
      <c r="C61" s="330"/>
      <c r="D61" s="330"/>
      <c r="E61" s="330"/>
      <c r="F61" s="330"/>
      <c r="G61" s="330"/>
      <c r="H61" s="330"/>
      <c r="I61" s="330"/>
      <c r="J61" s="330"/>
      <c r="K61" s="26"/>
      <c r="L61" s="26"/>
      <c r="M61" s="26"/>
      <c r="N61" s="26"/>
      <c r="O61" s="26"/>
      <c r="P61" s="26"/>
      <c r="Q61" s="26"/>
      <c r="R61" s="26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  <c r="AF61" s="26"/>
      <c r="AG61" s="26"/>
      <c r="AH61" s="26"/>
      <c r="AI61" s="26"/>
      <c r="AJ61" s="26"/>
      <c r="AK61" s="26"/>
      <c r="AL61" s="26"/>
      <c r="AM61" s="26"/>
      <c r="AN61" s="26"/>
      <c r="AO61" s="26"/>
      <c r="AP61" s="26"/>
      <c r="AQ61" s="26"/>
      <c r="AR61" s="26"/>
      <c r="AS61" s="26"/>
      <c r="AT61" s="26"/>
      <c r="AU61" s="26"/>
      <c r="AV61" s="26"/>
      <c r="AW61" s="26"/>
      <c r="AX61" s="26"/>
      <c r="AY61" s="26"/>
      <c r="AZ61" s="26"/>
      <c r="BA61" s="26"/>
      <c r="BB61" s="26"/>
      <c r="BC61" s="26"/>
      <c r="BD61" s="26"/>
      <c r="BE61" s="26"/>
      <c r="BF61" s="26"/>
      <c r="BG61" s="26"/>
      <c r="BH61" s="26"/>
      <c r="BI61" s="26"/>
    </row>
    <row r="62" spans="1:61" ht="14.25">
      <c r="A62" s="331" t="s">
        <v>4</v>
      </c>
      <c r="B62" s="331"/>
      <c r="C62" s="331"/>
      <c r="D62" s="332" t="s">
        <v>172</v>
      </c>
      <c r="E62" s="332"/>
      <c r="F62" s="332"/>
      <c r="G62" s="136" t="s">
        <v>6</v>
      </c>
      <c r="H62" s="136" t="s">
        <v>173</v>
      </c>
      <c r="I62" s="136" t="s">
        <v>174</v>
      </c>
      <c r="J62" s="137" t="s">
        <v>175</v>
      </c>
      <c r="K62" s="26"/>
      <c r="L62" s="26"/>
      <c r="M62" s="26"/>
      <c r="N62" s="26"/>
      <c r="O62" s="26"/>
      <c r="P62" s="26"/>
      <c r="Q62" s="26"/>
      <c r="R62" s="26"/>
      <c r="S62" s="26"/>
      <c r="T62" s="26"/>
      <c r="U62" s="26"/>
      <c r="V62" s="26"/>
      <c r="W62" s="26"/>
      <c r="X62" s="26"/>
      <c r="Y62" s="26"/>
      <c r="Z62" s="26"/>
      <c r="AA62" s="26"/>
      <c r="AB62" s="26"/>
      <c r="AC62" s="26"/>
      <c r="AD62" s="26"/>
      <c r="AE62" s="26"/>
      <c r="AF62" s="26"/>
      <c r="AG62" s="26"/>
      <c r="AH62" s="26"/>
      <c r="AI62" s="26"/>
      <c r="AJ62" s="26"/>
      <c r="AK62" s="26"/>
      <c r="AL62" s="26"/>
      <c r="AM62" s="26"/>
      <c r="AN62" s="26"/>
      <c r="AO62" s="26"/>
      <c r="AP62" s="26"/>
      <c r="AQ62" s="26"/>
      <c r="AR62" s="26"/>
      <c r="AS62" s="26"/>
      <c r="AT62" s="26"/>
      <c r="AU62" s="26"/>
      <c r="AV62" s="26"/>
      <c r="AW62" s="26"/>
      <c r="AX62" s="26"/>
      <c r="AY62" s="26"/>
      <c r="AZ62" s="26"/>
      <c r="BA62" s="26"/>
      <c r="BB62" s="26"/>
      <c r="BC62" s="26"/>
      <c r="BD62" s="26"/>
      <c r="BE62" s="26"/>
      <c r="BF62" s="26"/>
      <c r="BG62" s="26"/>
      <c r="BH62" s="26"/>
      <c r="BI62" s="26"/>
    </row>
    <row r="63" spans="1:61" ht="24" customHeight="1">
      <c r="A63" s="333" t="s">
        <v>217</v>
      </c>
      <c r="B63" s="333"/>
      <c r="C63" s="333"/>
      <c r="D63" s="326" t="s">
        <v>218</v>
      </c>
      <c r="E63" s="326"/>
      <c r="F63" s="326"/>
      <c r="G63" s="26" t="s">
        <v>180</v>
      </c>
      <c r="H63" s="26">
        <v>2.2999999999999998</v>
      </c>
      <c r="I63" s="138">
        <v>10.94</v>
      </c>
      <c r="J63" s="139">
        <f t="shared" ref="J63:J68" si="4">I63*H63</f>
        <v>25.161999999999995</v>
      </c>
      <c r="K63" s="26"/>
      <c r="L63" s="26"/>
      <c r="M63" s="26"/>
      <c r="N63" s="26"/>
      <c r="O63" s="26"/>
      <c r="P63" s="26"/>
      <c r="Q63" s="26"/>
      <c r="R63" s="26"/>
      <c r="S63" s="26"/>
      <c r="T63" s="26"/>
      <c r="U63" s="26"/>
      <c r="V63" s="26"/>
      <c r="W63" s="26"/>
      <c r="X63" s="26"/>
      <c r="Y63" s="26"/>
      <c r="Z63" s="26"/>
      <c r="AA63" s="26"/>
      <c r="AB63" s="26"/>
      <c r="AC63" s="26"/>
      <c r="AD63" s="26"/>
      <c r="AE63" s="26"/>
      <c r="AF63" s="26"/>
      <c r="AG63" s="26"/>
      <c r="AH63" s="26"/>
      <c r="AI63" s="26"/>
      <c r="AJ63" s="26"/>
      <c r="AK63" s="26"/>
      <c r="AL63" s="26"/>
      <c r="AM63" s="26"/>
      <c r="AN63" s="26"/>
      <c r="AO63" s="26"/>
      <c r="AP63" s="26"/>
      <c r="AQ63" s="26"/>
      <c r="AR63" s="26"/>
      <c r="AS63" s="26"/>
      <c r="AT63" s="26"/>
      <c r="AU63" s="26"/>
      <c r="AV63" s="26"/>
      <c r="AW63" s="26"/>
      <c r="AX63" s="26"/>
      <c r="AY63" s="26"/>
      <c r="AZ63" s="26"/>
      <c r="BA63" s="26"/>
      <c r="BB63" s="26"/>
      <c r="BC63" s="26"/>
      <c r="BD63" s="26"/>
      <c r="BE63" s="26"/>
      <c r="BF63" s="26"/>
      <c r="BG63" s="26"/>
      <c r="BH63" s="26"/>
      <c r="BI63" s="26"/>
    </row>
    <row r="64" spans="1:61" ht="14.25">
      <c r="A64" s="333" t="s">
        <v>219</v>
      </c>
      <c r="B64" s="333"/>
      <c r="C64" s="333"/>
      <c r="D64" s="325" t="s">
        <v>220</v>
      </c>
      <c r="E64" s="325"/>
      <c r="F64" s="325"/>
      <c r="G64" s="26" t="s">
        <v>221</v>
      </c>
      <c r="H64" s="26">
        <v>0.16739999999999999</v>
      </c>
      <c r="I64" s="138">
        <v>101.92</v>
      </c>
      <c r="J64" s="139">
        <f t="shared" si="4"/>
        <v>17.061408</v>
      </c>
      <c r="K64" s="26"/>
      <c r="L64" s="26"/>
      <c r="M64" s="26"/>
      <c r="N64" s="26"/>
      <c r="O64" s="26"/>
      <c r="P64" s="26"/>
      <c r="Q64" s="26"/>
      <c r="R64" s="26"/>
      <c r="S64" s="26"/>
      <c r="T64" s="26"/>
      <c r="U64" s="26"/>
      <c r="V64" s="26"/>
      <c r="W64" s="26"/>
      <c r="X64" s="26"/>
      <c r="Y64" s="26"/>
      <c r="Z64" s="26"/>
      <c r="AA64" s="26"/>
      <c r="AB64" s="26"/>
      <c r="AC64" s="26"/>
      <c r="AD64" s="26"/>
      <c r="AE64" s="26"/>
      <c r="AF64" s="26"/>
      <c r="AG64" s="26"/>
      <c r="AH64" s="26"/>
      <c r="AI64" s="26"/>
      <c r="AJ64" s="26"/>
      <c r="AK64" s="26"/>
      <c r="AL64" s="26"/>
      <c r="AM64" s="26"/>
      <c r="AN64" s="26"/>
      <c r="AO64" s="26"/>
      <c r="AP64" s="26"/>
      <c r="AQ64" s="26"/>
      <c r="AR64" s="26"/>
      <c r="AS64" s="26"/>
      <c r="AT64" s="26"/>
      <c r="AU64" s="26"/>
      <c r="AV64" s="26"/>
      <c r="AW64" s="26"/>
      <c r="AX64" s="26"/>
      <c r="AY64" s="26"/>
      <c r="AZ64" s="26"/>
      <c r="BA64" s="26"/>
      <c r="BB64" s="26"/>
      <c r="BC64" s="26"/>
      <c r="BD64" s="26"/>
      <c r="BE64" s="26"/>
      <c r="BF64" s="26"/>
      <c r="BG64" s="26"/>
      <c r="BH64" s="26"/>
      <c r="BI64" s="26"/>
    </row>
    <row r="65" spans="1:61" ht="35.450000000000003" customHeight="1">
      <c r="A65" s="325" t="s">
        <v>247</v>
      </c>
      <c r="B65" s="325"/>
      <c r="C65" s="325"/>
      <c r="D65" s="326" t="s">
        <v>227</v>
      </c>
      <c r="E65" s="326"/>
      <c r="F65" s="326"/>
      <c r="G65" s="26" t="s">
        <v>178</v>
      </c>
      <c r="H65" s="26">
        <v>1.0029999999999999</v>
      </c>
      <c r="I65" s="138">
        <v>11.32</v>
      </c>
      <c r="J65" s="139">
        <f t="shared" si="4"/>
        <v>11.353959999999999</v>
      </c>
      <c r="K65" s="26"/>
      <c r="L65" s="26"/>
      <c r="M65" s="26"/>
      <c r="N65" s="26"/>
      <c r="O65" s="26"/>
      <c r="P65" s="26"/>
      <c r="Q65" s="26"/>
      <c r="R65" s="2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  <c r="AF65" s="26"/>
      <c r="AG65" s="26"/>
      <c r="AH65" s="26"/>
      <c r="AI65" s="26"/>
      <c r="AJ65" s="26"/>
      <c r="AK65" s="26"/>
      <c r="AL65" s="26"/>
      <c r="AM65" s="26"/>
      <c r="AN65" s="26"/>
      <c r="AO65" s="26"/>
      <c r="AP65" s="26"/>
      <c r="AQ65" s="26"/>
      <c r="AR65" s="26"/>
      <c r="AS65" s="26"/>
      <c r="AT65" s="26"/>
      <c r="AU65" s="26"/>
      <c r="AV65" s="26"/>
      <c r="AW65" s="26"/>
      <c r="AX65" s="26"/>
      <c r="AY65" s="26"/>
      <c r="AZ65" s="26"/>
      <c r="BA65" s="26"/>
      <c r="BB65" s="26"/>
      <c r="BC65" s="26"/>
      <c r="BD65" s="26"/>
      <c r="BE65" s="26"/>
      <c r="BF65" s="26"/>
      <c r="BG65" s="26"/>
      <c r="BH65" s="26"/>
      <c r="BI65" s="26"/>
    </row>
    <row r="66" spans="1:61" ht="12.75" customHeight="1">
      <c r="A66" s="325" t="s">
        <v>228</v>
      </c>
      <c r="B66" s="325"/>
      <c r="C66" s="325"/>
      <c r="D66" s="326" t="s">
        <v>229</v>
      </c>
      <c r="E66" s="326"/>
      <c r="F66" s="326"/>
      <c r="G66" s="26" t="s">
        <v>184</v>
      </c>
      <c r="H66" s="26">
        <v>7.0199999999999999E-2</v>
      </c>
      <c r="I66" s="138">
        <v>26.31</v>
      </c>
      <c r="J66" s="139">
        <f t="shared" si="4"/>
        <v>1.8469619999999998</v>
      </c>
      <c r="K66" s="26"/>
      <c r="L66" s="26"/>
      <c r="M66" s="26"/>
      <c r="N66" s="26"/>
      <c r="O66" s="26"/>
      <c r="P66" s="26"/>
      <c r="Q66" s="26"/>
      <c r="R66" s="26"/>
      <c r="S66" s="26"/>
      <c r="T66" s="26"/>
      <c r="U66" s="26"/>
      <c r="V66" s="26"/>
      <c r="W66" s="26"/>
      <c r="X66" s="26"/>
      <c r="Y66" s="26"/>
      <c r="Z66" s="26"/>
      <c r="AA66" s="26"/>
      <c r="AB66" s="26"/>
      <c r="AC66" s="26"/>
      <c r="AD66" s="26"/>
      <c r="AE66" s="26"/>
      <c r="AF66" s="26"/>
      <c r="AG66" s="26"/>
      <c r="AH66" s="26"/>
      <c r="AI66" s="26"/>
      <c r="AJ66" s="26"/>
      <c r="AK66" s="26"/>
      <c r="AL66" s="26"/>
      <c r="AM66" s="26"/>
      <c r="AN66" s="26"/>
      <c r="AO66" s="26"/>
      <c r="AP66" s="26"/>
      <c r="AQ66" s="26"/>
      <c r="AR66" s="26"/>
      <c r="AS66" s="26"/>
      <c r="AT66" s="26"/>
      <c r="AU66" s="26"/>
      <c r="AV66" s="26"/>
      <c r="AW66" s="26"/>
      <c r="AX66" s="26"/>
      <c r="AY66" s="26"/>
      <c r="AZ66" s="26"/>
      <c r="BA66" s="26"/>
      <c r="BB66" s="26"/>
      <c r="BC66" s="26"/>
      <c r="BD66" s="26"/>
      <c r="BE66" s="26"/>
      <c r="BF66" s="26"/>
      <c r="BG66" s="26"/>
      <c r="BH66" s="26"/>
      <c r="BI66" s="26"/>
    </row>
    <row r="67" spans="1:61" ht="12.75" customHeight="1">
      <c r="A67" s="325" t="s">
        <v>187</v>
      </c>
      <c r="B67" s="325"/>
      <c r="C67" s="325"/>
      <c r="D67" s="326" t="s">
        <v>188</v>
      </c>
      <c r="E67" s="326"/>
      <c r="F67" s="326"/>
      <c r="G67" s="26" t="s">
        <v>184</v>
      </c>
      <c r="H67" s="26">
        <v>0.21049999999999999</v>
      </c>
      <c r="I67" s="138">
        <v>18.73</v>
      </c>
      <c r="J67" s="139">
        <f t="shared" si="4"/>
        <v>3.9426649999999999</v>
      </c>
      <c r="K67" s="26"/>
      <c r="L67" s="26"/>
      <c r="M67" s="26"/>
      <c r="N67" s="26"/>
      <c r="O67" s="26"/>
      <c r="P67" s="26"/>
      <c r="Q67" s="26"/>
      <c r="R67" s="26"/>
      <c r="S67" s="26"/>
      <c r="T67" s="26"/>
      <c r="U67" s="26"/>
      <c r="V67" s="26"/>
      <c r="W67" s="26"/>
      <c r="X67" s="26"/>
      <c r="Y67" s="26"/>
      <c r="Z67" s="26"/>
      <c r="AA67" s="26"/>
      <c r="AB67" s="26"/>
      <c r="AC67" s="26"/>
      <c r="AD67" s="26"/>
      <c r="AE67" s="26"/>
      <c r="AF67" s="26"/>
      <c r="AG67" s="26"/>
      <c r="AH67" s="26"/>
      <c r="AI67" s="26"/>
      <c r="AJ67" s="26"/>
      <c r="AK67" s="26"/>
      <c r="AL67" s="26"/>
      <c r="AM67" s="26"/>
      <c r="AN67" s="26"/>
      <c r="AO67" s="26"/>
      <c r="AP67" s="26"/>
      <c r="AQ67" s="26"/>
      <c r="AR67" s="26"/>
      <c r="AS67" s="26"/>
      <c r="AT67" s="26"/>
      <c r="AU67" s="26"/>
      <c r="AV67" s="26"/>
      <c r="AW67" s="26"/>
      <c r="AX67" s="26"/>
      <c r="AY67" s="26"/>
      <c r="AZ67" s="26"/>
      <c r="BA67" s="26"/>
      <c r="BB67" s="26"/>
      <c r="BC67" s="26"/>
      <c r="BD67" s="26"/>
      <c r="BE67" s="26"/>
      <c r="BF67" s="26"/>
      <c r="BG67" s="26"/>
      <c r="BH67" s="26"/>
      <c r="BI67" s="26"/>
    </row>
    <row r="68" spans="1:61" ht="46.9" customHeight="1">
      <c r="A68" s="325" t="s">
        <v>230</v>
      </c>
      <c r="B68" s="325"/>
      <c r="C68" s="325"/>
      <c r="D68" s="326" t="s">
        <v>231</v>
      </c>
      <c r="E68" s="326"/>
      <c r="F68" s="326"/>
      <c r="G68" s="26" t="s">
        <v>221</v>
      </c>
      <c r="H68" s="26">
        <v>0.16</v>
      </c>
      <c r="I68" s="138">
        <v>7.79</v>
      </c>
      <c r="J68" s="139">
        <f t="shared" si="4"/>
        <v>1.2464</v>
      </c>
      <c r="K68" s="26"/>
      <c r="L68" s="26"/>
      <c r="M68" s="26"/>
      <c r="N68" s="26"/>
      <c r="O68" s="26"/>
      <c r="P68" s="26"/>
      <c r="Q68" s="26"/>
      <c r="R68" s="26"/>
      <c r="S68" s="26"/>
      <c r="T68" s="26"/>
      <c r="U68" s="26"/>
      <c r="V68" s="26"/>
      <c r="W68" s="26"/>
      <c r="X68" s="26"/>
      <c r="Y68" s="26"/>
      <c r="Z68" s="26"/>
      <c r="AA68" s="26"/>
      <c r="AB68" s="26"/>
      <c r="AC68" s="26"/>
      <c r="AD68" s="26"/>
      <c r="AE68" s="26"/>
      <c r="AF68" s="26"/>
      <c r="AG68" s="26"/>
      <c r="AH68" s="26"/>
      <c r="AI68" s="26"/>
      <c r="AJ68" s="26"/>
      <c r="AK68" s="26"/>
      <c r="AL68" s="26"/>
      <c r="AM68" s="26"/>
      <c r="AN68" s="26"/>
      <c r="AO68" s="26"/>
      <c r="AP68" s="26"/>
      <c r="AQ68" s="26"/>
      <c r="AR68" s="26"/>
      <c r="AS68" s="26"/>
      <c r="AT68" s="26"/>
      <c r="AU68" s="26"/>
      <c r="AV68" s="26"/>
      <c r="AW68" s="26"/>
      <c r="AX68" s="26"/>
      <c r="AY68" s="26"/>
      <c r="AZ68" s="26"/>
      <c r="BA68" s="26"/>
      <c r="BB68" s="26"/>
      <c r="BC68" s="26"/>
      <c r="BD68" s="26"/>
      <c r="BE68" s="26"/>
      <c r="BF68" s="26"/>
      <c r="BG68" s="26"/>
      <c r="BH68" s="26"/>
      <c r="BI68" s="26"/>
    </row>
    <row r="69" spans="1:61" ht="14.25">
      <c r="A69" s="327" t="s">
        <v>189</v>
      </c>
      <c r="B69" s="327"/>
      <c r="C69" s="327"/>
      <c r="D69" s="327"/>
      <c r="E69" s="327"/>
      <c r="F69" s="327"/>
      <c r="G69" s="327"/>
      <c r="H69" s="327"/>
      <c r="I69" s="327"/>
      <c r="J69" s="140">
        <f>J63+J64+J65+J66+J67+J68</f>
        <v>60.61339499999999</v>
      </c>
      <c r="K69" s="26"/>
      <c r="L69" s="26"/>
      <c r="M69" s="26"/>
      <c r="N69" s="26"/>
      <c r="O69" s="26"/>
      <c r="P69" s="26"/>
      <c r="Q69" s="26"/>
      <c r="R69" s="26"/>
      <c r="S69" s="26"/>
      <c r="T69" s="26"/>
      <c r="U69" s="26"/>
      <c r="V69" s="26"/>
      <c r="W69" s="26"/>
      <c r="X69" s="26"/>
      <c r="Y69" s="26"/>
      <c r="Z69" s="26"/>
      <c r="AA69" s="26"/>
      <c r="AB69" s="26"/>
      <c r="AC69" s="26"/>
      <c r="AD69" s="26"/>
      <c r="AE69" s="26"/>
      <c r="AF69" s="26"/>
      <c r="AG69" s="26"/>
      <c r="AH69" s="26"/>
      <c r="AI69" s="26"/>
      <c r="AJ69" s="26"/>
      <c r="AK69" s="26"/>
      <c r="AL69" s="26"/>
      <c r="AM69" s="26"/>
      <c r="AN69" s="26"/>
      <c r="AO69" s="26"/>
      <c r="AP69" s="26"/>
      <c r="AQ69" s="26"/>
      <c r="AR69" s="26"/>
      <c r="AS69" s="26"/>
      <c r="AT69" s="26"/>
      <c r="AU69" s="26"/>
      <c r="AV69" s="26"/>
      <c r="AW69" s="26"/>
      <c r="AX69" s="26"/>
      <c r="AY69" s="26"/>
      <c r="AZ69" s="26"/>
      <c r="BA69" s="26"/>
      <c r="BB69" s="26"/>
      <c r="BC69" s="26"/>
      <c r="BD69" s="26"/>
      <c r="BE69" s="26"/>
      <c r="BF69" s="26"/>
      <c r="BG69" s="26"/>
      <c r="BH69" s="26"/>
      <c r="BI69" s="26"/>
    </row>
  </sheetData>
  <mergeCells count="104">
    <mergeCell ref="A1:C4"/>
    <mergeCell ref="D1:J4"/>
    <mergeCell ref="A5:J10"/>
    <mergeCell ref="A11:J11"/>
    <mergeCell ref="A12:J12"/>
    <mergeCell ref="A13:C13"/>
    <mergeCell ref="D13:I13"/>
    <mergeCell ref="D14:I14"/>
    <mergeCell ref="A15:J15"/>
    <mergeCell ref="A16:C16"/>
    <mergeCell ref="D16:F16"/>
    <mergeCell ref="A17:C17"/>
    <mergeCell ref="D17:F17"/>
    <mergeCell ref="A18:C18"/>
    <mergeCell ref="D18:F18"/>
    <mergeCell ref="A19:C19"/>
    <mergeCell ref="D19:F19"/>
    <mergeCell ref="A20:C20"/>
    <mergeCell ref="D20:F20"/>
    <mergeCell ref="A21:C21"/>
    <mergeCell ref="D21:F21"/>
    <mergeCell ref="A22:C22"/>
    <mergeCell ref="D22:F22"/>
    <mergeCell ref="A23:I23"/>
    <mergeCell ref="A24:C24"/>
    <mergeCell ref="D24:I24"/>
    <mergeCell ref="D25:I25"/>
    <mergeCell ref="A26:J26"/>
    <mergeCell ref="A27:C27"/>
    <mergeCell ref="D27:F27"/>
    <mergeCell ref="A28:C28"/>
    <mergeCell ref="D28:F28"/>
    <mergeCell ref="A29:C29"/>
    <mergeCell ref="D29:F29"/>
    <mergeCell ref="A30:C30"/>
    <mergeCell ref="D30:F30"/>
    <mergeCell ref="A31:C31"/>
    <mergeCell ref="D31:F31"/>
    <mergeCell ref="A32:C32"/>
    <mergeCell ref="D32:F32"/>
    <mergeCell ref="A33:C33"/>
    <mergeCell ref="D33:F33"/>
    <mergeCell ref="A34:I34"/>
    <mergeCell ref="A35:C35"/>
    <mergeCell ref="D35:I35"/>
    <mergeCell ref="D36:I36"/>
    <mergeCell ref="A37:J37"/>
    <mergeCell ref="A38:C38"/>
    <mergeCell ref="D38:F38"/>
    <mergeCell ref="A39:C39"/>
    <mergeCell ref="D39:F39"/>
    <mergeCell ref="A40:C40"/>
    <mergeCell ref="D40:F40"/>
    <mergeCell ref="A41:C41"/>
    <mergeCell ref="D41:F41"/>
    <mergeCell ref="A42:C42"/>
    <mergeCell ref="D42:F42"/>
    <mergeCell ref="A43:C43"/>
    <mergeCell ref="D43:F43"/>
    <mergeCell ref="A44:C44"/>
    <mergeCell ref="D44:F44"/>
    <mergeCell ref="A45:I45"/>
    <mergeCell ref="A46:C46"/>
    <mergeCell ref="D46:I46"/>
    <mergeCell ref="D47:I47"/>
    <mergeCell ref="A48:J48"/>
    <mergeCell ref="A49:C49"/>
    <mergeCell ref="D49:F49"/>
    <mergeCell ref="A50:C50"/>
    <mergeCell ref="D50:F50"/>
    <mergeCell ref="A51:C51"/>
    <mergeCell ref="D51:F51"/>
    <mergeCell ref="A52:C52"/>
    <mergeCell ref="D52:F52"/>
    <mergeCell ref="A53:C53"/>
    <mergeCell ref="D53:F53"/>
    <mergeCell ref="A54:C54"/>
    <mergeCell ref="D54:F54"/>
    <mergeCell ref="A55:C55"/>
    <mergeCell ref="D55:F55"/>
    <mergeCell ref="A56:C56"/>
    <mergeCell ref="D56:F56"/>
    <mergeCell ref="A57:C57"/>
    <mergeCell ref="D57:F57"/>
    <mergeCell ref="A58:I58"/>
    <mergeCell ref="A59:C59"/>
    <mergeCell ref="D59:I59"/>
    <mergeCell ref="D60:I60"/>
    <mergeCell ref="A61:J61"/>
    <mergeCell ref="A62:C62"/>
    <mergeCell ref="D62:F62"/>
    <mergeCell ref="A63:C63"/>
    <mergeCell ref="D63:F63"/>
    <mergeCell ref="A64:C64"/>
    <mergeCell ref="D64:F64"/>
    <mergeCell ref="A65:C65"/>
    <mergeCell ref="D65:F65"/>
    <mergeCell ref="A66:C66"/>
    <mergeCell ref="D66:F66"/>
    <mergeCell ref="A67:C67"/>
    <mergeCell ref="D67:F67"/>
    <mergeCell ref="A68:C68"/>
    <mergeCell ref="D68:F68"/>
    <mergeCell ref="A69:I69"/>
  </mergeCells>
  <pageMargins left="0.78749999999999998" right="0.78749999999999998" top="1.05277777777778" bottom="1.05277777777778" header="0.78749999999999998" footer="0.78749999999999998"/>
  <pageSetup paperSize="9" firstPageNumber="0" orientation="portrait" horizontalDpi="300" verticalDpi="300" r:id="rId1"/>
  <headerFooter>
    <oddHeader>&amp;C&amp;"Times New Roman,Normal"&amp;12&amp;A</oddHeader>
    <oddFooter>&amp;C&amp;"Times New Roman,Normal"&amp;12Página &amp;P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9ECDA6-7A46-4400-917B-31EBA8D4F95D}">
  <dimension ref="B1:T46"/>
  <sheetViews>
    <sheetView showGridLines="0" topLeftCell="C13" workbookViewId="0">
      <selection activeCell="E37" sqref="E37"/>
    </sheetView>
  </sheetViews>
  <sheetFormatPr defaultRowHeight="14.25"/>
  <sheetData>
    <row r="1" spans="2:20" ht="13.5" customHeight="1"/>
    <row r="2" spans="2:20" ht="38.25" customHeight="1" thickBot="1">
      <c r="B2" s="199"/>
      <c r="C2" s="199"/>
      <c r="D2" s="200"/>
      <c r="E2" s="200"/>
      <c r="F2" s="200"/>
      <c r="G2" s="338" t="s">
        <v>267</v>
      </c>
      <c r="H2" s="338"/>
      <c r="I2" s="338"/>
      <c r="J2" s="338"/>
      <c r="K2" s="338"/>
      <c r="L2" s="338"/>
      <c r="M2" s="338"/>
      <c r="N2" s="200"/>
      <c r="O2" s="200"/>
      <c r="P2" s="200"/>
      <c r="Q2" s="200"/>
      <c r="R2" s="200"/>
      <c r="S2" s="200"/>
      <c r="T2" s="200"/>
    </row>
    <row r="3" spans="2:20" ht="24" customHeight="1" thickBot="1">
      <c r="B3" s="201"/>
      <c r="C3" s="339" t="s">
        <v>285</v>
      </c>
      <c r="D3" s="340"/>
      <c r="E3" s="340"/>
      <c r="F3" s="340"/>
      <c r="G3" s="340"/>
      <c r="H3" s="340"/>
      <c r="I3" s="340"/>
      <c r="J3" s="340"/>
      <c r="K3" s="340"/>
      <c r="L3" s="340"/>
      <c r="M3" s="340"/>
      <c r="N3" s="340"/>
      <c r="O3" s="340"/>
      <c r="P3" s="340"/>
      <c r="Q3" s="340"/>
      <c r="R3" s="340"/>
      <c r="S3" s="340"/>
      <c r="T3" s="341"/>
    </row>
    <row r="4" spans="2:20" ht="21.75" thickBot="1">
      <c r="B4" s="202"/>
      <c r="C4" s="203"/>
      <c r="D4" s="203"/>
      <c r="E4" s="203"/>
      <c r="F4" s="203"/>
      <c r="G4" s="203"/>
      <c r="H4" s="203"/>
      <c r="I4" s="203"/>
      <c r="J4" s="203"/>
      <c r="K4" s="203"/>
      <c r="L4" s="203"/>
      <c r="M4" s="203"/>
      <c r="N4" s="203"/>
      <c r="O4" s="342" t="s">
        <v>268</v>
      </c>
      <c r="P4" s="342"/>
      <c r="Q4" s="342"/>
      <c r="R4" s="204">
        <f>ROUND(Q17,2)</f>
        <v>0.28000000000000003</v>
      </c>
      <c r="S4" s="204"/>
      <c r="T4" s="203"/>
    </row>
    <row r="5" spans="2:20" ht="21.75" thickBot="1">
      <c r="B5" s="202"/>
      <c r="C5" s="205"/>
      <c r="D5" s="206"/>
      <c r="E5" s="207"/>
      <c r="F5" s="206" t="s">
        <v>269</v>
      </c>
      <c r="G5" s="207"/>
      <c r="H5" s="206"/>
      <c r="I5" s="207"/>
      <c r="J5" s="207"/>
      <c r="K5" s="207"/>
      <c r="L5" s="207"/>
      <c r="M5" s="208"/>
      <c r="N5" s="203"/>
      <c r="O5" s="209"/>
      <c r="P5" s="203"/>
      <c r="Q5" s="203"/>
      <c r="R5" s="203"/>
      <c r="S5" s="203"/>
      <c r="T5" s="203"/>
    </row>
    <row r="6" spans="2:20" ht="15.75">
      <c r="B6" s="202"/>
      <c r="C6" s="202"/>
      <c r="D6" s="202"/>
      <c r="E6" s="202"/>
      <c r="F6" s="203"/>
      <c r="G6" s="203"/>
      <c r="H6" s="202"/>
      <c r="I6" s="203"/>
      <c r="J6" s="203"/>
      <c r="K6" s="203"/>
      <c r="L6" s="203"/>
      <c r="M6" s="203"/>
      <c r="N6" s="203"/>
      <c r="O6" s="210" t="s">
        <v>270</v>
      </c>
      <c r="P6" s="211"/>
      <c r="Q6" s="212" t="s">
        <v>167</v>
      </c>
      <c r="R6" s="343" t="s">
        <v>271</v>
      </c>
      <c r="S6" s="344"/>
      <c r="T6" s="203"/>
    </row>
    <row r="7" spans="2:20" ht="15.75">
      <c r="B7" s="202"/>
      <c r="C7" s="202"/>
      <c r="D7" s="202"/>
      <c r="E7" s="202"/>
      <c r="F7" s="213"/>
      <c r="G7" s="203"/>
      <c r="H7" s="202"/>
      <c r="I7" s="203"/>
      <c r="J7" s="203"/>
      <c r="K7" s="203"/>
      <c r="L7" s="203"/>
      <c r="M7" s="203"/>
      <c r="N7" s="203"/>
      <c r="O7" s="214" t="s">
        <v>272</v>
      </c>
      <c r="P7" s="215"/>
      <c r="Q7" s="216">
        <v>0.04</v>
      </c>
      <c r="R7" s="345" t="s">
        <v>273</v>
      </c>
      <c r="S7" s="346"/>
      <c r="T7" s="203"/>
    </row>
    <row r="8" spans="2:20" ht="15.75">
      <c r="B8" s="202"/>
      <c r="C8" s="202"/>
      <c r="D8" s="202"/>
      <c r="E8" s="202"/>
      <c r="F8" s="213"/>
      <c r="G8" s="203"/>
      <c r="H8" s="202"/>
      <c r="I8" s="203"/>
      <c r="J8" s="203"/>
      <c r="K8" s="203"/>
      <c r="L8" s="203"/>
      <c r="M8" s="203"/>
      <c r="N8" s="203"/>
      <c r="O8" s="217" t="s">
        <v>274</v>
      </c>
      <c r="P8" s="218"/>
      <c r="Q8" s="219">
        <v>1.23E-2</v>
      </c>
      <c r="R8" s="336" t="s">
        <v>273</v>
      </c>
      <c r="S8" s="337"/>
      <c r="T8" s="203"/>
    </row>
    <row r="9" spans="2:20" ht="15.75">
      <c r="B9" s="202"/>
      <c r="C9" s="202"/>
      <c r="D9" s="202"/>
      <c r="E9" s="202"/>
      <c r="F9" s="213"/>
      <c r="G9" s="203"/>
      <c r="H9" s="202"/>
      <c r="I9" s="203"/>
      <c r="J9" s="203"/>
      <c r="K9" s="203"/>
      <c r="L9" s="213"/>
      <c r="M9" s="213"/>
      <c r="N9" s="203"/>
      <c r="O9" s="217" t="s">
        <v>275</v>
      </c>
      <c r="P9" s="218"/>
      <c r="Q9" s="219">
        <v>1.2699999999999999E-2</v>
      </c>
      <c r="R9" s="336" t="s">
        <v>273</v>
      </c>
      <c r="S9" s="337"/>
      <c r="T9" s="203"/>
    </row>
    <row r="10" spans="2:20" ht="15.75">
      <c r="B10" s="202"/>
      <c r="C10" s="203"/>
      <c r="D10" s="203"/>
      <c r="E10" s="203"/>
      <c r="F10" s="213"/>
      <c r="G10" s="203"/>
      <c r="H10" s="202"/>
      <c r="I10" s="203"/>
      <c r="J10" s="203"/>
      <c r="K10" s="203"/>
      <c r="L10" s="213"/>
      <c r="M10" s="213"/>
      <c r="N10" s="203"/>
      <c r="O10" s="217" t="s">
        <v>276</v>
      </c>
      <c r="P10" s="218"/>
      <c r="Q10" s="219">
        <v>8.0000000000000002E-3</v>
      </c>
      <c r="R10" s="336" t="s">
        <v>273</v>
      </c>
      <c r="S10" s="337"/>
      <c r="T10" s="203"/>
    </row>
    <row r="11" spans="2:20" ht="15.75">
      <c r="B11" s="202"/>
      <c r="C11" s="203"/>
      <c r="D11" s="203"/>
      <c r="E11" s="203"/>
      <c r="F11" s="213"/>
      <c r="G11" s="203"/>
      <c r="H11" s="202"/>
      <c r="I11" s="203"/>
      <c r="J11" s="203"/>
      <c r="K11" s="203"/>
      <c r="L11" s="213"/>
      <c r="M11" s="213"/>
      <c r="N11" s="213"/>
      <c r="O11" s="217" t="s">
        <v>277</v>
      </c>
      <c r="P11" s="218"/>
      <c r="Q11" s="220">
        <v>0.10150000000000001</v>
      </c>
      <c r="R11" s="336"/>
      <c r="S11" s="337"/>
      <c r="T11" s="203"/>
    </row>
    <row r="12" spans="2:20" ht="15">
      <c r="B12" s="202"/>
      <c r="C12" s="203"/>
      <c r="D12" s="203"/>
      <c r="E12" s="203"/>
      <c r="F12" s="203"/>
      <c r="G12" s="203"/>
      <c r="H12" s="203"/>
      <c r="I12" s="203"/>
      <c r="J12" s="203"/>
      <c r="K12" s="203"/>
      <c r="L12" s="203"/>
      <c r="M12" s="203"/>
      <c r="N12" s="213"/>
      <c r="O12" s="221"/>
      <c r="P12" s="222" t="s">
        <v>278</v>
      </c>
      <c r="Q12" s="223">
        <v>0.03</v>
      </c>
      <c r="R12" s="336"/>
      <c r="S12" s="337"/>
      <c r="T12" s="203"/>
    </row>
    <row r="13" spans="2:20" ht="15">
      <c r="B13" s="202"/>
      <c r="C13" s="203"/>
      <c r="D13" s="203"/>
      <c r="E13" s="203"/>
      <c r="F13" s="203"/>
      <c r="G13" s="203"/>
      <c r="H13" s="203"/>
      <c r="I13" s="203"/>
      <c r="J13" s="203"/>
      <c r="K13" s="203"/>
      <c r="L13" s="203"/>
      <c r="M13" s="203"/>
      <c r="N13" s="213"/>
      <c r="O13" s="221"/>
      <c r="P13" s="222" t="s">
        <v>279</v>
      </c>
      <c r="Q13" s="223">
        <v>6.4999999999999997E-3</v>
      </c>
      <c r="R13" s="336"/>
      <c r="S13" s="337"/>
      <c r="T13" s="203"/>
    </row>
    <row r="14" spans="2:20" ht="15">
      <c r="B14" s="202"/>
      <c r="C14" s="203"/>
      <c r="D14" s="203"/>
      <c r="E14" s="203"/>
      <c r="F14" s="203"/>
      <c r="G14" s="203"/>
      <c r="H14" s="203"/>
      <c r="I14" s="203"/>
      <c r="J14" s="203"/>
      <c r="K14" s="203"/>
      <c r="L14" s="203"/>
      <c r="M14" s="203"/>
      <c r="N14" s="213"/>
      <c r="O14" s="221"/>
      <c r="P14" s="222" t="s">
        <v>280</v>
      </c>
      <c r="Q14" s="223">
        <v>0.02</v>
      </c>
      <c r="R14" s="336"/>
      <c r="S14" s="337"/>
      <c r="T14" s="203"/>
    </row>
    <row r="15" spans="2:20" ht="21">
      <c r="B15" s="202"/>
      <c r="C15" s="203"/>
      <c r="D15" s="203"/>
      <c r="E15" s="203"/>
      <c r="F15" s="203"/>
      <c r="G15" s="203"/>
      <c r="H15" s="203"/>
      <c r="I15" s="203"/>
      <c r="J15" s="203"/>
      <c r="K15" s="203"/>
      <c r="L15" s="203"/>
      <c r="M15" s="203"/>
      <c r="N15" s="213"/>
      <c r="O15" s="221"/>
      <c r="P15" s="222" t="s">
        <v>281</v>
      </c>
      <c r="Q15" s="223">
        <v>4.4999999999999998E-2</v>
      </c>
      <c r="R15" s="336"/>
      <c r="S15" s="337"/>
      <c r="T15" s="224"/>
    </row>
    <row r="16" spans="2:20" ht="15.75">
      <c r="B16" s="202"/>
      <c r="C16" s="203"/>
      <c r="D16" s="203"/>
      <c r="E16" s="203"/>
      <c r="F16" s="203"/>
      <c r="G16" s="203"/>
      <c r="H16" s="203"/>
      <c r="I16" s="203"/>
      <c r="J16" s="203"/>
      <c r="K16" s="203"/>
      <c r="L16" s="203"/>
      <c r="M16" s="203"/>
      <c r="N16" s="213"/>
      <c r="O16" s="225" t="s">
        <v>282</v>
      </c>
      <c r="P16" s="226"/>
      <c r="Q16" s="227">
        <v>7.3999999999999996E-2</v>
      </c>
      <c r="R16" s="347" t="s">
        <v>273</v>
      </c>
      <c r="S16" s="348"/>
      <c r="T16" s="203"/>
    </row>
    <row r="17" spans="2:20" ht="26.25">
      <c r="B17" s="202"/>
      <c r="C17" s="203"/>
      <c r="D17" s="203"/>
      <c r="E17" s="203"/>
      <c r="F17" s="203"/>
      <c r="G17" s="203"/>
      <c r="H17" s="203"/>
      <c r="I17" s="203"/>
      <c r="J17" s="203"/>
      <c r="K17" s="203"/>
      <c r="L17" s="203"/>
      <c r="M17" s="203"/>
      <c r="N17" s="213"/>
      <c r="O17" s="228"/>
      <c r="P17" s="229" t="s">
        <v>283</v>
      </c>
      <c r="Q17" s="230">
        <f>(((1+Q7+Q10+Q9)*(1+Q8)*(1+Q16))/(1-Q11))-1</f>
        <v>0.28347674918197008</v>
      </c>
      <c r="R17" s="231"/>
      <c r="S17" s="232"/>
      <c r="T17" s="203"/>
    </row>
    <row r="18" spans="2:20" ht="15">
      <c r="B18" s="202"/>
      <c r="C18" s="203"/>
      <c r="D18" s="203"/>
      <c r="E18" s="203"/>
      <c r="F18" s="203"/>
      <c r="G18" s="203"/>
      <c r="H18" s="203"/>
      <c r="I18" s="203"/>
      <c r="J18" s="203"/>
      <c r="K18" s="203"/>
      <c r="L18" s="203"/>
      <c r="M18" s="203"/>
      <c r="N18" s="213"/>
      <c r="O18" s="222"/>
      <c r="P18" s="222"/>
      <c r="Q18" s="223"/>
      <c r="R18" s="233"/>
      <c r="S18" s="233"/>
      <c r="T18" s="203"/>
    </row>
    <row r="19" spans="2:20" ht="61.5" customHeight="1">
      <c r="O19" s="355" t="s">
        <v>286</v>
      </c>
      <c r="P19" s="355"/>
      <c r="Q19" s="355"/>
      <c r="R19" s="355"/>
      <c r="S19" s="355"/>
    </row>
    <row r="20" spans="2:20" ht="15">
      <c r="B20" s="202"/>
      <c r="C20" s="349"/>
      <c r="D20" s="349"/>
      <c r="E20" s="349"/>
      <c r="F20" s="349"/>
      <c r="G20" s="349"/>
      <c r="H20" s="349"/>
      <c r="I20" s="349"/>
      <c r="J20" s="349"/>
      <c r="K20" s="349"/>
      <c r="L20" s="203"/>
      <c r="M20" s="202"/>
      <c r="N20" s="203"/>
      <c r="O20" s="202"/>
      <c r="P20" s="202"/>
      <c r="Q20" s="202"/>
      <c r="R20" s="202"/>
      <c r="S20" s="202"/>
      <c r="T20" s="202"/>
    </row>
    <row r="21" spans="2:20" ht="15">
      <c r="B21" s="202"/>
      <c r="C21" s="350"/>
      <c r="D21" s="350"/>
      <c r="E21" s="350"/>
      <c r="F21" s="350"/>
      <c r="G21" s="350"/>
      <c r="H21" s="350"/>
      <c r="I21" s="234"/>
      <c r="J21" s="234"/>
      <c r="K21" s="234"/>
      <c r="L21" s="203"/>
      <c r="M21" s="202"/>
      <c r="N21" s="202"/>
      <c r="O21" s="202"/>
      <c r="P21" s="202"/>
      <c r="Q21" s="202"/>
      <c r="R21" s="202"/>
      <c r="S21" s="202"/>
      <c r="T21" s="202"/>
    </row>
    <row r="22" spans="2:20" ht="21">
      <c r="B22" s="342" t="s">
        <v>284</v>
      </c>
      <c r="C22" s="342"/>
      <c r="D22" s="342"/>
      <c r="E22" s="342"/>
      <c r="F22" s="342"/>
      <c r="G22" s="342"/>
      <c r="H22" s="342"/>
      <c r="I22" s="342"/>
      <c r="J22" s="342"/>
      <c r="K22" s="342"/>
      <c r="L22" s="342"/>
      <c r="M22" s="342"/>
      <c r="N22" s="342"/>
      <c r="O22" s="342"/>
      <c r="P22" s="342"/>
      <c r="Q22" s="342"/>
      <c r="R22" s="342"/>
      <c r="S22" s="342"/>
      <c r="T22" s="342"/>
    </row>
    <row r="23" spans="2:20" ht="15">
      <c r="B23" s="202"/>
      <c r="C23" s="351"/>
      <c r="D23" s="351"/>
      <c r="E23" s="351"/>
      <c r="F23" s="351"/>
      <c r="G23" s="351"/>
      <c r="H23" s="351"/>
      <c r="I23" s="235"/>
      <c r="J23" s="235"/>
      <c r="K23" s="235"/>
      <c r="L23" s="203"/>
      <c r="M23" s="202"/>
      <c r="N23" s="202"/>
      <c r="O23" s="202"/>
      <c r="P23" s="202"/>
      <c r="Q23" s="202"/>
      <c r="R23" s="202"/>
      <c r="S23" s="202"/>
      <c r="T23" s="203"/>
    </row>
    <row r="25" spans="2:20" ht="15">
      <c r="B25" s="202"/>
      <c r="C25" s="351"/>
      <c r="D25" s="351"/>
      <c r="E25" s="351"/>
      <c r="F25" s="351"/>
      <c r="G25" s="351"/>
      <c r="H25" s="351"/>
      <c r="I25" s="235"/>
      <c r="J25" s="235"/>
      <c r="K25" s="235"/>
      <c r="L25" s="234"/>
      <c r="M25" s="202"/>
      <c r="N25" s="202"/>
      <c r="O25" s="202"/>
      <c r="P25" s="202"/>
      <c r="Q25" s="202"/>
      <c r="R25" s="202"/>
      <c r="S25" s="202"/>
      <c r="T25" s="203"/>
    </row>
    <row r="26" spans="2:20" ht="15">
      <c r="B26" s="202"/>
      <c r="C26" s="351"/>
      <c r="D26" s="351"/>
      <c r="E26" s="351"/>
      <c r="F26" s="351"/>
      <c r="G26" s="351"/>
      <c r="H26" s="351"/>
      <c r="I26" s="235"/>
      <c r="J26" s="235"/>
      <c r="K26" s="235"/>
      <c r="L26" s="234"/>
      <c r="M26" s="202"/>
      <c r="N26" s="202"/>
      <c r="O26" s="202"/>
      <c r="P26" s="202"/>
      <c r="Q26" s="202"/>
      <c r="R26" s="202"/>
      <c r="S26" s="202"/>
      <c r="T26" s="203"/>
    </row>
    <row r="27" spans="2:20" ht="15">
      <c r="B27" s="202"/>
      <c r="C27" s="203"/>
      <c r="D27" s="203"/>
      <c r="E27" s="203"/>
      <c r="F27" s="203"/>
      <c r="G27" s="203"/>
      <c r="H27" s="203"/>
      <c r="I27" s="203"/>
      <c r="J27" s="203"/>
      <c r="K27" s="203"/>
      <c r="L27" s="235"/>
      <c r="M27" s="202"/>
      <c r="N27" s="202"/>
      <c r="O27" s="202"/>
      <c r="P27" s="202"/>
      <c r="Q27" s="202"/>
      <c r="R27" s="202"/>
      <c r="S27" s="202"/>
      <c r="T27" s="234"/>
    </row>
    <row r="28" spans="2:20" ht="15.75">
      <c r="B28" s="236"/>
      <c r="C28" s="352"/>
      <c r="D28" s="352"/>
      <c r="E28" s="352"/>
      <c r="F28" s="352"/>
      <c r="G28" s="352"/>
      <c r="H28" s="352"/>
      <c r="I28" s="234"/>
      <c r="J28" s="234"/>
      <c r="K28" s="234"/>
      <c r="L28" s="235"/>
      <c r="M28" s="202"/>
      <c r="N28" s="202"/>
      <c r="O28" s="202"/>
      <c r="P28" s="202"/>
      <c r="Q28" s="202"/>
      <c r="R28" s="202"/>
      <c r="S28" s="202"/>
      <c r="T28" s="234"/>
    </row>
    <row r="29" spans="2:20" ht="15">
      <c r="B29" s="202"/>
      <c r="C29" s="352"/>
      <c r="D29" s="352"/>
      <c r="E29" s="352"/>
      <c r="F29" s="352"/>
      <c r="G29" s="352"/>
      <c r="H29" s="352"/>
      <c r="I29" s="237"/>
      <c r="J29" s="237"/>
      <c r="K29" s="237"/>
      <c r="L29" s="235"/>
      <c r="M29" s="202"/>
      <c r="N29" s="202"/>
      <c r="O29" s="202"/>
      <c r="P29" s="202"/>
      <c r="Q29" s="202"/>
      <c r="R29" s="202"/>
      <c r="S29" s="202"/>
      <c r="T29" s="235"/>
    </row>
    <row r="30" spans="2:20" ht="15">
      <c r="B30" s="202"/>
      <c r="C30" s="238"/>
      <c r="D30" s="238"/>
      <c r="E30" s="238"/>
      <c r="F30" s="238"/>
      <c r="G30" s="238"/>
      <c r="H30" s="238"/>
      <c r="I30" s="237"/>
      <c r="J30" s="237"/>
      <c r="K30" s="237"/>
      <c r="L30" s="235"/>
      <c r="M30" s="202"/>
      <c r="N30" s="202"/>
      <c r="O30" s="202"/>
      <c r="P30" s="202"/>
      <c r="Q30" s="202"/>
      <c r="R30" s="202"/>
      <c r="S30" s="202"/>
      <c r="T30" s="235"/>
    </row>
    <row r="31" spans="2:20">
      <c r="B31" s="222"/>
      <c r="C31" s="353"/>
      <c r="D31" s="353"/>
      <c r="E31" s="353"/>
      <c r="F31" s="353"/>
      <c r="G31" s="353"/>
      <c r="H31" s="353"/>
      <c r="I31" s="353"/>
      <c r="J31" s="353"/>
      <c r="K31" s="353"/>
      <c r="L31" s="353"/>
      <c r="M31" s="353"/>
      <c r="N31" s="353"/>
      <c r="O31" s="353"/>
      <c r="P31" s="353"/>
      <c r="Q31" s="353"/>
      <c r="R31" s="353"/>
      <c r="S31" s="353"/>
      <c r="T31" s="235"/>
    </row>
    <row r="32" spans="2:20">
      <c r="B32" s="222"/>
      <c r="C32" s="353"/>
      <c r="D32" s="353"/>
      <c r="E32" s="234"/>
      <c r="F32" s="234"/>
      <c r="G32" s="234"/>
      <c r="H32" s="234"/>
      <c r="I32" s="234"/>
      <c r="J32" s="234"/>
      <c r="K32" s="234"/>
      <c r="L32" s="234"/>
      <c r="M32" s="234"/>
      <c r="N32" s="234"/>
      <c r="O32" s="234"/>
      <c r="P32" s="234"/>
      <c r="Q32" s="234"/>
      <c r="R32" s="234"/>
      <c r="S32" s="234"/>
      <c r="T32" s="235"/>
    </row>
    <row r="33" spans="2:20">
      <c r="B33" s="222"/>
      <c r="C33" s="353"/>
      <c r="D33" s="353"/>
      <c r="E33" s="235"/>
      <c r="F33" s="235"/>
      <c r="G33" s="235"/>
      <c r="H33" s="235"/>
      <c r="I33" s="235"/>
      <c r="J33" s="235"/>
      <c r="K33" s="235"/>
      <c r="L33" s="235"/>
      <c r="M33" s="235"/>
      <c r="N33" s="235"/>
      <c r="O33" s="235"/>
      <c r="P33" s="235"/>
      <c r="Q33" s="235"/>
      <c r="R33" s="235"/>
      <c r="S33" s="235"/>
      <c r="T33" s="235"/>
    </row>
    <row r="34" spans="2:20">
      <c r="B34" s="222"/>
      <c r="C34" s="203"/>
      <c r="D34" s="203"/>
      <c r="E34" s="203"/>
      <c r="F34" s="203"/>
      <c r="G34" s="203"/>
      <c r="H34" s="203"/>
      <c r="I34" s="203"/>
      <c r="J34" s="203"/>
      <c r="K34" s="203"/>
      <c r="L34" s="203"/>
      <c r="M34" s="203"/>
      <c r="N34" s="203"/>
      <c r="O34" s="203"/>
      <c r="P34" s="203"/>
      <c r="Q34" s="203"/>
      <c r="R34" s="203"/>
      <c r="S34" s="203"/>
      <c r="T34" s="239"/>
    </row>
    <row r="35" spans="2:20">
      <c r="B35" s="222"/>
      <c r="C35" s="239"/>
      <c r="D35" s="239"/>
      <c r="E35" s="203"/>
      <c r="F35" s="203"/>
      <c r="G35" s="203"/>
      <c r="H35" s="203"/>
      <c r="I35" s="203"/>
      <c r="J35" s="203"/>
      <c r="K35" s="203"/>
      <c r="L35" s="203"/>
      <c r="M35" s="203"/>
      <c r="N35" s="203"/>
      <c r="O35" s="203"/>
      <c r="P35" s="203"/>
      <c r="Q35" s="203"/>
      <c r="R35" s="203"/>
      <c r="S35" s="203"/>
      <c r="T35" s="203"/>
    </row>
    <row r="36" spans="2:20">
      <c r="B36" s="222"/>
      <c r="C36" s="353"/>
      <c r="D36" s="353"/>
      <c r="E36" s="234"/>
      <c r="F36" s="234"/>
      <c r="G36" s="234"/>
      <c r="H36" s="203"/>
      <c r="I36" s="203"/>
      <c r="J36" s="203"/>
      <c r="K36" s="213"/>
      <c r="L36" s="203"/>
      <c r="M36" s="203"/>
      <c r="N36" s="203"/>
      <c r="O36" s="203"/>
      <c r="P36" s="203"/>
      <c r="Q36" s="203"/>
      <c r="R36" s="203"/>
      <c r="S36" s="203"/>
      <c r="T36" s="203"/>
    </row>
    <row r="37" spans="2:20">
      <c r="B37" s="222"/>
      <c r="C37" s="356"/>
      <c r="D37" s="356"/>
      <c r="E37" s="235"/>
      <c r="F37" s="235"/>
      <c r="G37" s="235"/>
      <c r="H37" s="203"/>
      <c r="I37" s="203"/>
      <c r="J37" s="203"/>
      <c r="K37" s="213"/>
      <c r="L37" s="203"/>
      <c r="M37" s="203"/>
      <c r="N37" s="203"/>
      <c r="O37" s="203"/>
      <c r="P37" s="203"/>
      <c r="Q37" s="203"/>
      <c r="R37" s="203"/>
      <c r="S37" s="203"/>
      <c r="T37" s="203"/>
    </row>
    <row r="38" spans="2:20" ht="15">
      <c r="B38" s="202"/>
      <c r="C38" s="356"/>
      <c r="D38" s="356"/>
      <c r="E38" s="240"/>
      <c r="F38" s="240"/>
      <c r="G38" s="240"/>
      <c r="H38" s="240"/>
      <c r="I38" s="240"/>
      <c r="J38" s="240"/>
      <c r="K38" s="240"/>
      <c r="L38" s="203"/>
      <c r="M38" s="203"/>
      <c r="N38" s="203"/>
      <c r="O38" s="203"/>
      <c r="P38" s="203"/>
      <c r="Q38" s="203"/>
      <c r="R38" s="203"/>
      <c r="S38" s="203"/>
      <c r="T38" s="203"/>
    </row>
    <row r="39" spans="2:20" ht="15">
      <c r="B39" s="202"/>
      <c r="C39" s="356"/>
      <c r="D39" s="356"/>
      <c r="E39" s="240"/>
      <c r="F39" s="240"/>
      <c r="G39" s="240"/>
      <c r="H39" s="240"/>
      <c r="I39" s="240"/>
      <c r="J39" s="240"/>
      <c r="K39" s="240"/>
      <c r="L39" s="203"/>
      <c r="M39" s="203"/>
      <c r="N39" s="203"/>
      <c r="O39" s="203"/>
      <c r="P39" s="203"/>
      <c r="Q39" s="203"/>
      <c r="R39" s="203"/>
      <c r="S39" s="203"/>
      <c r="T39" s="203"/>
    </row>
    <row r="40" spans="2:20" ht="15">
      <c r="B40" s="202"/>
      <c r="C40" s="356"/>
      <c r="D40" s="356"/>
      <c r="E40" s="240"/>
      <c r="F40" s="240"/>
      <c r="G40" s="240"/>
      <c r="H40" s="240"/>
      <c r="I40" s="240"/>
      <c r="J40" s="240"/>
      <c r="K40" s="240"/>
      <c r="L40" s="203"/>
      <c r="M40" s="213"/>
      <c r="N40" s="203"/>
      <c r="O40" s="203"/>
      <c r="P40" s="203"/>
      <c r="Q40" s="203"/>
      <c r="R40" s="203"/>
      <c r="S40" s="203"/>
      <c r="T40" s="203"/>
    </row>
    <row r="41" spans="2:20" ht="15">
      <c r="B41" s="202"/>
      <c r="C41" s="356"/>
      <c r="D41" s="356"/>
      <c r="E41" s="240"/>
      <c r="F41" s="240"/>
      <c r="G41" s="240"/>
      <c r="H41" s="240"/>
      <c r="I41" s="240"/>
      <c r="J41" s="240"/>
      <c r="K41" s="240"/>
      <c r="L41" s="213"/>
      <c r="M41" s="213"/>
      <c r="N41" s="203"/>
      <c r="O41" s="203"/>
      <c r="P41" s="203"/>
      <c r="Q41" s="203"/>
      <c r="R41" s="203"/>
      <c r="S41" s="203"/>
      <c r="T41" s="203"/>
    </row>
    <row r="42" spans="2:20" ht="15">
      <c r="B42" s="202"/>
      <c r="C42" s="240"/>
      <c r="D42" s="240"/>
      <c r="E42" s="240"/>
      <c r="F42" s="240"/>
      <c r="G42" s="240"/>
      <c r="H42" s="240"/>
      <c r="I42" s="240"/>
      <c r="J42" s="240"/>
      <c r="K42" s="240"/>
      <c r="L42" s="213"/>
      <c r="M42" s="240"/>
      <c r="N42" s="213"/>
      <c r="O42" s="213"/>
      <c r="P42" s="213"/>
      <c r="Q42" s="213"/>
      <c r="R42" s="203"/>
      <c r="S42" s="203"/>
      <c r="T42" s="203"/>
    </row>
    <row r="43" spans="2:20" ht="15">
      <c r="B43" s="202"/>
      <c r="C43" s="357"/>
      <c r="D43" s="357"/>
      <c r="E43" s="357"/>
      <c r="F43" s="357"/>
      <c r="G43" s="357"/>
      <c r="H43" s="357"/>
      <c r="I43" s="357"/>
      <c r="J43" s="240"/>
      <c r="K43" s="240"/>
      <c r="L43" s="240"/>
      <c r="M43" s="240"/>
      <c r="N43" s="213"/>
      <c r="O43" s="213"/>
      <c r="P43" s="213"/>
      <c r="Q43" s="213"/>
      <c r="R43" s="213"/>
      <c r="S43" s="213"/>
      <c r="T43" s="213"/>
    </row>
    <row r="44" spans="2:20" ht="15">
      <c r="B44" s="202"/>
      <c r="C44" s="358"/>
      <c r="D44" s="358"/>
      <c r="E44" s="358"/>
      <c r="F44" s="358"/>
      <c r="G44" s="234"/>
      <c r="H44" s="234"/>
      <c r="I44" s="234"/>
      <c r="J44" s="240"/>
      <c r="K44" s="240"/>
      <c r="L44" s="240"/>
      <c r="M44" s="240"/>
      <c r="N44" s="240"/>
      <c r="O44" s="240"/>
      <c r="P44" s="240"/>
      <c r="Q44" s="240"/>
      <c r="R44" s="213"/>
      <c r="S44" s="213"/>
      <c r="T44" s="213"/>
    </row>
    <row r="45" spans="2:20" ht="15">
      <c r="B45" s="202"/>
      <c r="C45" s="354"/>
      <c r="D45" s="354"/>
      <c r="E45" s="354"/>
      <c r="F45" s="354"/>
      <c r="G45" s="240"/>
      <c r="H45" s="240"/>
      <c r="I45" s="240"/>
      <c r="J45" s="240"/>
      <c r="K45" s="240"/>
      <c r="L45" s="240"/>
      <c r="M45" s="240"/>
      <c r="N45" s="240"/>
      <c r="O45" s="240"/>
      <c r="P45" s="240"/>
      <c r="Q45" s="240"/>
      <c r="R45" s="240"/>
      <c r="S45" s="240"/>
      <c r="T45" s="240"/>
    </row>
    <row r="46" spans="2:20" ht="15">
      <c r="B46" s="202"/>
      <c r="C46" s="240"/>
      <c r="D46" s="240"/>
      <c r="E46" s="240"/>
      <c r="F46" s="240"/>
      <c r="G46" s="240"/>
      <c r="H46" s="240"/>
      <c r="I46" s="240"/>
      <c r="J46" s="240"/>
      <c r="K46" s="240"/>
      <c r="L46" s="240"/>
      <c r="M46" s="240"/>
      <c r="N46" s="240"/>
      <c r="O46" s="240"/>
      <c r="P46" s="240"/>
      <c r="Q46" s="240"/>
      <c r="R46" s="240"/>
      <c r="S46" s="240"/>
      <c r="T46" s="240"/>
    </row>
  </sheetData>
  <mergeCells count="38">
    <mergeCell ref="C45:F45"/>
    <mergeCell ref="O19:S19"/>
    <mergeCell ref="C38:D38"/>
    <mergeCell ref="C39:D39"/>
    <mergeCell ref="C40:D40"/>
    <mergeCell ref="C41:D41"/>
    <mergeCell ref="C43:I43"/>
    <mergeCell ref="C44:F44"/>
    <mergeCell ref="K31:M31"/>
    <mergeCell ref="N31:P31"/>
    <mergeCell ref="Q31:S31"/>
    <mergeCell ref="C33:D33"/>
    <mergeCell ref="C36:D36"/>
    <mergeCell ref="C37:D37"/>
    <mergeCell ref="C23:H23"/>
    <mergeCell ref="C25:H25"/>
    <mergeCell ref="C26:H26"/>
    <mergeCell ref="C28:H29"/>
    <mergeCell ref="C31:D32"/>
    <mergeCell ref="E31:G31"/>
    <mergeCell ref="H31:J31"/>
    <mergeCell ref="R15:S15"/>
    <mergeCell ref="R16:S16"/>
    <mergeCell ref="B22:T22"/>
    <mergeCell ref="C20:K20"/>
    <mergeCell ref="C21:H21"/>
    <mergeCell ref="R14:S14"/>
    <mergeCell ref="G2:M2"/>
    <mergeCell ref="C3:T3"/>
    <mergeCell ref="O4:Q4"/>
    <mergeCell ref="R6:S6"/>
    <mergeCell ref="R7:S7"/>
    <mergeCell ref="R8:S8"/>
    <mergeCell ref="R9:S9"/>
    <mergeCell ref="R10:S10"/>
    <mergeCell ref="R11:S11"/>
    <mergeCell ref="R12:S12"/>
    <mergeCell ref="R13:S13"/>
  </mergeCells>
  <pageMargins left="0.511811024" right="0.511811024" top="0.78740157499999996" bottom="0.78740157499999996" header="0.31496062000000002" footer="0.31496062000000002"/>
  <pageSetup paperSize="9" orientation="portrait" verticalDpi="0" r:id="rId1"/>
  <drawing r:id="rId2"/>
  <legacyDrawing r:id="rId3"/>
  <oleObjects>
    <mc:AlternateContent xmlns:mc="http://schemas.openxmlformats.org/markup-compatibility/2006">
      <mc:Choice Requires="x14">
        <oleObject progId="PBrush" shapeId="8193" r:id="rId4">
          <objectPr defaultSize="0" autoPict="0" r:id="rId5">
            <anchor moveWithCells="1" sizeWithCells="1">
              <from>
                <xdr:col>2</xdr:col>
                <xdr:colOff>390525</xdr:colOff>
                <xdr:row>0</xdr:row>
                <xdr:rowOff>66675</xdr:rowOff>
              </from>
              <to>
                <xdr:col>5</xdr:col>
                <xdr:colOff>457200</xdr:colOff>
                <xdr:row>2</xdr:row>
                <xdr:rowOff>0</xdr:rowOff>
              </to>
            </anchor>
          </objectPr>
        </oleObject>
      </mc:Choice>
      <mc:Fallback>
        <oleObject progId="PBrush" shapeId="8193" r:id="rId4"/>
      </mc:Fallback>
    </mc:AlternateContent>
  </oleObjec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F6FC38-368F-4DE7-9124-B429A79F0B76}">
  <sheetPr>
    <pageSetUpPr fitToPage="1"/>
  </sheetPr>
  <dimension ref="A1:BE39"/>
  <sheetViews>
    <sheetView showGridLines="0" zoomScale="85" zoomScaleNormal="85" workbookViewId="0">
      <selection activeCell="A8" sqref="A8"/>
    </sheetView>
  </sheetViews>
  <sheetFormatPr defaultColWidth="8.375" defaultRowHeight="15.75"/>
  <cols>
    <col min="1" max="1" width="48.125" style="3" customWidth="1"/>
    <col min="2" max="2" width="10" style="1" customWidth="1"/>
    <col min="3" max="3" width="8.75" style="4" customWidth="1"/>
    <col min="4" max="4" width="11.375" style="5" customWidth="1"/>
    <col min="5" max="5" width="12.875" style="5" customWidth="1"/>
    <col min="6" max="6" width="11.375" style="6" customWidth="1"/>
    <col min="7" max="7" width="11.375" style="5" customWidth="1"/>
    <col min="8" max="8" width="15.5" style="5" customWidth="1"/>
    <col min="9" max="9" width="12.5" style="1" customWidth="1"/>
    <col min="10" max="10" width="12.75" style="1" customWidth="1"/>
    <col min="11" max="11" width="11.5" style="1" customWidth="1"/>
    <col min="12" max="12" width="11.375" style="1" customWidth="1"/>
    <col min="13" max="15" width="8.375" style="1"/>
    <col min="16" max="16" width="10.375" style="1" customWidth="1"/>
    <col min="17" max="17" width="11.125" style="1" customWidth="1"/>
    <col min="18" max="57" width="8.375" style="1"/>
  </cols>
  <sheetData>
    <row r="1" spans="1:57" ht="16.5" customHeight="1">
      <c r="A1" s="365" t="s">
        <v>0</v>
      </c>
      <c r="B1" s="366"/>
      <c r="C1" s="366"/>
      <c r="D1" s="366"/>
      <c r="E1" s="366"/>
      <c r="F1" s="366"/>
      <c r="G1" s="366"/>
      <c r="H1" s="366"/>
      <c r="I1" s="366"/>
      <c r="J1" s="366"/>
      <c r="K1" s="366"/>
    </row>
    <row r="2" spans="1:57" ht="17.25" customHeight="1">
      <c r="A2" s="365"/>
      <c r="B2" s="366"/>
      <c r="C2" s="366"/>
      <c r="D2" s="366"/>
      <c r="E2" s="366"/>
      <c r="F2" s="366"/>
      <c r="G2" s="366"/>
      <c r="H2" s="366"/>
      <c r="I2" s="366"/>
      <c r="J2" s="366"/>
      <c r="K2" s="366"/>
    </row>
    <row r="3" spans="1:57" ht="17.25" customHeight="1">
      <c r="A3" s="365"/>
      <c r="B3" s="366"/>
      <c r="C3" s="366"/>
      <c r="D3" s="366"/>
      <c r="E3" s="366"/>
      <c r="F3" s="366"/>
      <c r="G3" s="366"/>
      <c r="H3" s="366"/>
      <c r="I3" s="366"/>
      <c r="J3" s="366"/>
      <c r="K3" s="366"/>
    </row>
    <row r="4" spans="1:57" ht="17.25" customHeight="1" thickBot="1">
      <c r="A4" s="367"/>
      <c r="B4" s="368"/>
      <c r="C4" s="368"/>
      <c r="D4" s="368"/>
      <c r="E4" s="368"/>
      <c r="F4" s="368"/>
      <c r="G4" s="368"/>
      <c r="H4" s="368"/>
      <c r="I4" s="368"/>
      <c r="J4" s="368"/>
      <c r="K4" s="368"/>
    </row>
    <row r="5" spans="1:57" ht="27.6" customHeight="1" thickBot="1">
      <c r="A5" s="362" t="s">
        <v>248</v>
      </c>
      <c r="B5" s="363"/>
      <c r="C5" s="363"/>
      <c r="D5" s="363"/>
      <c r="E5" s="363"/>
      <c r="F5" s="363"/>
      <c r="G5" s="363"/>
      <c r="H5" s="363"/>
      <c r="I5" s="363"/>
      <c r="J5" s="363"/>
      <c r="K5" s="364"/>
      <c r="N5" s="359" t="s">
        <v>251</v>
      </c>
      <c r="O5" s="360"/>
      <c r="P5" s="360"/>
      <c r="Q5" s="361"/>
    </row>
    <row r="6" spans="1:57" ht="48" thickBot="1">
      <c r="A6" s="187" t="s">
        <v>5</v>
      </c>
      <c r="B6" s="188" t="s">
        <v>6</v>
      </c>
      <c r="C6" s="189" t="s">
        <v>7</v>
      </c>
      <c r="D6" s="190" t="s">
        <v>9</v>
      </c>
      <c r="E6" s="190" t="s">
        <v>10</v>
      </c>
      <c r="F6" s="191" t="s">
        <v>11</v>
      </c>
      <c r="G6" s="190" t="s">
        <v>12</v>
      </c>
      <c r="H6" s="192" t="s">
        <v>13</v>
      </c>
      <c r="I6" s="193" t="s">
        <v>249</v>
      </c>
      <c r="J6" s="194" t="s">
        <v>250</v>
      </c>
      <c r="K6" s="195" t="s">
        <v>259</v>
      </c>
      <c r="L6" s="15"/>
      <c r="M6" s="15"/>
      <c r="N6" s="174" t="s">
        <v>252</v>
      </c>
      <c r="O6" s="174" t="s">
        <v>253</v>
      </c>
      <c r="P6" s="175" t="s">
        <v>254</v>
      </c>
      <c r="Q6" s="175" t="s">
        <v>255</v>
      </c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/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/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/>
      <c r="BE6" s="15"/>
    </row>
    <row r="7" spans="1:57" ht="25.5">
      <c r="A7" s="164" t="s">
        <v>75</v>
      </c>
      <c r="B7" s="165" t="s">
        <v>76</v>
      </c>
      <c r="C7" s="166">
        <f>(1192.8+54.1+1168.56+214.2+243.6+677.12+236.5+264.88+187.68+213.44+1374.56+300+440.64+246.84+280.72)*0.617*1.1</f>
        <v>4815.8108679999996</v>
      </c>
      <c r="D7" s="167">
        <v>14.83</v>
      </c>
      <c r="E7" s="167">
        <f t="shared" ref="E7:E38" si="0">D7*C7</f>
        <v>71418.475172439998</v>
      </c>
      <c r="F7" s="248">
        <v>0.28349999999999997</v>
      </c>
      <c r="G7" s="167">
        <f t="shared" ref="G7:G38" si="1">D7+(D7*F7)</f>
        <v>19.034305</v>
      </c>
      <c r="H7" s="249">
        <f t="shared" ref="H7:H38" si="2">G7*C7</f>
        <v>91665.612883826732</v>
      </c>
      <c r="I7" s="241">
        <f>H7/$H$39</f>
        <v>0.19241745839211893</v>
      </c>
      <c r="J7" s="173">
        <f>I7</f>
        <v>0.19241745839211893</v>
      </c>
      <c r="K7" s="180" t="str">
        <f>IF(J7&lt;=$O$7,"A",IF(J7&lt;=$O$8,"B","C"))</f>
        <v>A</v>
      </c>
      <c r="L7" s="26"/>
      <c r="M7" s="26"/>
      <c r="N7" s="176" t="s">
        <v>256</v>
      </c>
      <c r="O7" s="177">
        <v>0.85</v>
      </c>
      <c r="P7" s="178">
        <f>COUNTIF($K$7:$K$38,N7)/COUNTA($K$7:$K$38)</f>
        <v>0.3125</v>
      </c>
      <c r="Q7" s="179">
        <f>SUMIF($K$7:$K$38,N7,$I$7:$I$38)</f>
        <v>0.83937922910872675</v>
      </c>
      <c r="R7" s="26"/>
      <c r="S7" s="26"/>
      <c r="T7" s="26"/>
      <c r="U7" s="26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</row>
    <row r="8" spans="1:57" ht="25.5" customHeight="1">
      <c r="A8" s="250" t="s">
        <v>75</v>
      </c>
      <c r="B8" s="42" t="s">
        <v>76</v>
      </c>
      <c r="C8" s="40">
        <f>(1101.92+1075.68+54.1+197.88+225.04+771.48+300+198.52+138.72+157.76+390.08+236.5+156.52+108.12+122.96)*0.617*1.1</f>
        <v>3553.1845360000007</v>
      </c>
      <c r="D8" s="41">
        <v>14.83</v>
      </c>
      <c r="E8" s="41">
        <f t="shared" si="0"/>
        <v>52693.726668880008</v>
      </c>
      <c r="F8" s="173">
        <v>0.28349999999999997</v>
      </c>
      <c r="G8" s="41">
        <f t="shared" si="1"/>
        <v>19.034305</v>
      </c>
      <c r="H8" s="251">
        <f t="shared" si="2"/>
        <v>67632.398179507494</v>
      </c>
      <c r="I8" s="241">
        <f t="shared" ref="I8:I38" si="3">H8/$H$39</f>
        <v>0.14196876836636196</v>
      </c>
      <c r="J8" s="173">
        <f>I8+J7</f>
        <v>0.3343862267584809</v>
      </c>
      <c r="K8" s="180" t="str">
        <f t="shared" ref="K8:K38" si="4">IF(J8&lt;=$O$7,"A",IF(J8&lt;=$O$8,"B","C"))</f>
        <v>A</v>
      </c>
      <c r="L8" s="26"/>
      <c r="M8" s="26"/>
      <c r="N8" s="176" t="s">
        <v>257</v>
      </c>
      <c r="O8" s="177">
        <v>0.95</v>
      </c>
      <c r="P8" s="178">
        <f>COUNTIF($K$7:$K$38,N8)/COUNTA($K$7:$K$38)</f>
        <v>0.1875</v>
      </c>
      <c r="Q8" s="179">
        <f t="shared" ref="Q8:Q9" si="5">SUMIF($K$7:$K$38,N8,$I$7:$I$38)</f>
        <v>0.11053681795119316</v>
      </c>
      <c r="R8" s="26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  <c r="AF8" s="26"/>
      <c r="AG8" s="26"/>
      <c r="AH8" s="26"/>
      <c r="AI8" s="26"/>
      <c r="AJ8" s="26"/>
      <c r="AK8" s="26"/>
      <c r="AL8" s="26"/>
      <c r="AM8" s="26"/>
      <c r="AN8" s="26"/>
      <c r="AO8" s="26"/>
      <c r="AP8" s="26"/>
      <c r="AQ8" s="26"/>
      <c r="AR8" s="26"/>
      <c r="AS8" s="26"/>
      <c r="AT8" s="26"/>
      <c r="AU8" s="26"/>
      <c r="AV8" s="26"/>
      <c r="AW8" s="26"/>
      <c r="AX8" s="26"/>
      <c r="AY8" s="26"/>
      <c r="AZ8" s="26"/>
      <c r="BA8" s="26"/>
      <c r="BB8" s="26"/>
      <c r="BC8" s="26"/>
      <c r="BD8" s="26"/>
      <c r="BE8" s="26"/>
    </row>
    <row r="9" spans="1:57" ht="49.5" customHeight="1">
      <c r="A9" s="250" t="s">
        <v>88</v>
      </c>
      <c r="B9" s="42" t="s">
        <v>89</v>
      </c>
      <c r="C9" s="40">
        <f>(10.75*18)</f>
        <v>193.5</v>
      </c>
      <c r="D9" s="41">
        <v>199.32</v>
      </c>
      <c r="E9" s="41">
        <f t="shared" si="0"/>
        <v>38568.42</v>
      </c>
      <c r="F9" s="173">
        <v>0.28349999999999997</v>
      </c>
      <c r="G9" s="41">
        <f t="shared" si="1"/>
        <v>255.82721999999998</v>
      </c>
      <c r="H9" s="251">
        <f t="shared" si="2"/>
        <v>49502.567069999997</v>
      </c>
      <c r="I9" s="241">
        <f t="shared" si="3"/>
        <v>0.10391201062023769</v>
      </c>
      <c r="J9" s="173">
        <f t="shared" ref="J9:J38" si="6">I9+J8</f>
        <v>0.43829823737871859</v>
      </c>
      <c r="K9" s="180" t="str">
        <f t="shared" si="4"/>
        <v>A</v>
      </c>
      <c r="L9" s="26"/>
      <c r="M9" s="26"/>
      <c r="N9" s="176" t="s">
        <v>258</v>
      </c>
      <c r="O9" s="177">
        <v>1</v>
      </c>
      <c r="P9" s="178">
        <f>COUNTIF($K$7:$K$38,N9)/COUNTA($K$7:$K$38)</f>
        <v>0.5</v>
      </c>
      <c r="Q9" s="179">
        <f t="shared" si="5"/>
        <v>5.0083952940079807E-2</v>
      </c>
      <c r="R9" s="2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  <c r="AF9" s="26"/>
      <c r="AG9" s="26"/>
      <c r="AH9" s="26"/>
      <c r="AI9" s="26"/>
      <c r="AJ9" s="26"/>
      <c r="AK9" s="26"/>
      <c r="AL9" s="26"/>
      <c r="AM9" s="26"/>
      <c r="AN9" s="26"/>
      <c r="AO9" s="26"/>
      <c r="AP9" s="26"/>
      <c r="AQ9" s="26"/>
      <c r="AR9" s="26"/>
      <c r="AS9" s="26"/>
      <c r="AT9" s="26"/>
      <c r="AU9" s="26"/>
      <c r="AV9" s="26"/>
      <c r="AW9" s="26"/>
      <c r="AX9" s="26"/>
      <c r="AY9" s="26"/>
      <c r="AZ9" s="26"/>
      <c r="BA9" s="26"/>
      <c r="BB9" s="26"/>
      <c r="BC9" s="26"/>
      <c r="BD9" s="26"/>
      <c r="BE9" s="26"/>
    </row>
    <row r="10" spans="1:57" ht="51">
      <c r="A10" s="250" t="s">
        <v>88</v>
      </c>
      <c r="B10" s="42" t="s">
        <v>89</v>
      </c>
      <c r="C10" s="40">
        <f>10.75*14</f>
        <v>150.5</v>
      </c>
      <c r="D10" s="41">
        <v>199.32</v>
      </c>
      <c r="E10" s="41">
        <f t="shared" si="0"/>
        <v>29997.66</v>
      </c>
      <c r="F10" s="173">
        <v>0.28349999999999997</v>
      </c>
      <c r="G10" s="41">
        <f t="shared" si="1"/>
        <v>255.82721999999998</v>
      </c>
      <c r="H10" s="251">
        <f t="shared" si="2"/>
        <v>38501.996609999995</v>
      </c>
      <c r="I10" s="241">
        <f t="shared" si="3"/>
        <v>8.0820452704629314E-2</v>
      </c>
      <c r="J10" s="173">
        <f t="shared" si="6"/>
        <v>0.51911869008334788</v>
      </c>
      <c r="K10" s="180" t="str">
        <f t="shared" si="4"/>
        <v>A</v>
      </c>
      <c r="L10" s="26"/>
      <c r="M10" s="26"/>
      <c r="R10" s="2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  <c r="AF10" s="26"/>
      <c r="AG10" s="26"/>
      <c r="AH10" s="26"/>
      <c r="AI10" s="26"/>
      <c r="AJ10" s="26"/>
      <c r="AK10" s="26"/>
      <c r="AL10" s="26"/>
      <c r="AM10" s="26"/>
      <c r="AN10" s="26"/>
      <c r="AO10" s="26"/>
      <c r="AP10" s="26"/>
      <c r="AQ10" s="26"/>
      <c r="AR10" s="26"/>
      <c r="AS10" s="26"/>
      <c r="AT10" s="26"/>
      <c r="AU10" s="26"/>
      <c r="AV10" s="26"/>
      <c r="AW10" s="26"/>
      <c r="AX10" s="26"/>
      <c r="AY10" s="26"/>
      <c r="AZ10" s="26"/>
      <c r="BA10" s="26"/>
      <c r="BB10" s="26"/>
      <c r="BC10" s="26"/>
      <c r="BD10" s="26"/>
      <c r="BE10" s="26"/>
    </row>
    <row r="11" spans="1:57" ht="22.5" customHeight="1">
      <c r="A11" s="250" t="s">
        <v>126</v>
      </c>
      <c r="B11" s="42" t="s">
        <v>89</v>
      </c>
      <c r="C11" s="40">
        <f>10.31*18</f>
        <v>185.58</v>
      </c>
      <c r="D11" s="41">
        <f>'COMPOSIÇÃO PRÓPRIA '!J58</f>
        <v>167.70923499999998</v>
      </c>
      <c r="E11" s="41">
        <f t="shared" si="0"/>
        <v>31123.479831299999</v>
      </c>
      <c r="F11" s="173">
        <v>0.28349999999999997</v>
      </c>
      <c r="G11" s="41">
        <f t="shared" si="1"/>
        <v>215.25480312249996</v>
      </c>
      <c r="H11" s="251">
        <f t="shared" si="2"/>
        <v>39946.986363473545</v>
      </c>
      <c r="I11" s="241">
        <f t="shared" si="3"/>
        <v>8.3853664909498471E-2</v>
      </c>
      <c r="J11" s="173">
        <f t="shared" si="6"/>
        <v>0.60297235499284629</v>
      </c>
      <c r="K11" s="180" t="str">
        <f t="shared" si="4"/>
        <v>A</v>
      </c>
      <c r="L11" s="26"/>
      <c r="M11" s="26"/>
      <c r="N11" s="26"/>
      <c r="O11" s="26"/>
      <c r="P11" s="26"/>
      <c r="Q11" s="26"/>
      <c r="R11" s="2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  <c r="AF11" s="26"/>
      <c r="AG11" s="26"/>
      <c r="AH11" s="26"/>
      <c r="AI11" s="26"/>
      <c r="AJ11" s="26"/>
      <c r="AK11" s="26"/>
      <c r="AL11" s="26"/>
      <c r="AM11" s="26"/>
      <c r="AN11" s="26"/>
      <c r="AO11" s="26"/>
      <c r="AP11" s="26"/>
      <c r="AQ11" s="26"/>
      <c r="AR11" s="26"/>
      <c r="AS11" s="26"/>
      <c r="AT11" s="26"/>
      <c r="AU11" s="26"/>
      <c r="AV11" s="26"/>
      <c r="AW11" s="26"/>
      <c r="AX11" s="26"/>
      <c r="AY11" s="26"/>
      <c r="AZ11" s="26"/>
      <c r="BA11" s="26"/>
      <c r="BB11" s="26"/>
      <c r="BC11" s="26"/>
      <c r="BD11" s="26"/>
      <c r="BE11" s="26"/>
    </row>
    <row r="12" spans="1:57" ht="25.5">
      <c r="A12" s="250" t="s">
        <v>80</v>
      </c>
      <c r="B12" s="42" t="s">
        <v>39</v>
      </c>
      <c r="C12" s="40">
        <f>((((5+6)*10.6)/2)+(((5+1)*12.04)/2)+(((1+6)*9.24)/2))*0.26</f>
        <v>32.957599999999999</v>
      </c>
      <c r="D12" s="41">
        <v>686.68</v>
      </c>
      <c r="E12" s="41">
        <f t="shared" si="0"/>
        <v>22631.324767999999</v>
      </c>
      <c r="F12" s="173">
        <v>0.28349999999999997</v>
      </c>
      <c r="G12" s="41">
        <f t="shared" si="1"/>
        <v>881.35377999999992</v>
      </c>
      <c r="H12" s="251">
        <f t="shared" si="2"/>
        <v>29047.305339727998</v>
      </c>
      <c r="I12" s="241">
        <f t="shared" si="3"/>
        <v>6.0973886398314074E-2</v>
      </c>
      <c r="J12" s="173">
        <f t="shared" si="6"/>
        <v>0.66394624139116032</v>
      </c>
      <c r="K12" s="180" t="str">
        <f t="shared" si="4"/>
        <v>A</v>
      </c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  <c r="AF12" s="26"/>
      <c r="AG12" s="26"/>
      <c r="AH12" s="26"/>
      <c r="AI12" s="26"/>
      <c r="AJ12" s="26"/>
      <c r="AK12" s="26"/>
      <c r="AL12" s="26"/>
      <c r="AM12" s="26"/>
      <c r="AN12" s="26"/>
      <c r="AO12" s="26"/>
      <c r="AP12" s="26"/>
      <c r="AQ12" s="26"/>
      <c r="AR12" s="26"/>
      <c r="AS12" s="26"/>
      <c r="AT12" s="26"/>
      <c r="AU12" s="26"/>
      <c r="AV12" s="26"/>
      <c r="AW12" s="26"/>
      <c r="AX12" s="26"/>
      <c r="AY12" s="26"/>
      <c r="AZ12" s="26"/>
      <c r="BA12" s="26"/>
      <c r="BB12" s="26"/>
      <c r="BC12" s="26"/>
      <c r="BD12" s="26"/>
      <c r="BE12" s="26"/>
    </row>
    <row r="13" spans="1:57" ht="72" customHeight="1">
      <c r="A13" s="250" t="s">
        <v>101</v>
      </c>
      <c r="B13" s="42" t="s">
        <v>76</v>
      </c>
      <c r="C13" s="40">
        <f>(96.84+84.84+188.16+38.9+92.88+24+65.8+9.27+151.8+141.12+24+6.94)*1.578*1.1</f>
        <v>1604.8338900000001</v>
      </c>
      <c r="D13" s="41">
        <v>12.09</v>
      </c>
      <c r="E13" s="41">
        <f t="shared" si="0"/>
        <v>19402.441730099999</v>
      </c>
      <c r="F13" s="173">
        <v>0.28349999999999997</v>
      </c>
      <c r="G13" s="41">
        <f t="shared" si="1"/>
        <v>15.517515</v>
      </c>
      <c r="H13" s="251">
        <f t="shared" si="2"/>
        <v>24903.033960583351</v>
      </c>
      <c r="I13" s="241">
        <f t="shared" si="3"/>
        <v>5.2274548221490393E-2</v>
      </c>
      <c r="J13" s="173">
        <f t="shared" si="6"/>
        <v>0.71622078961265068</v>
      </c>
      <c r="K13" s="180" t="str">
        <f t="shared" si="4"/>
        <v>A</v>
      </c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  <c r="AF13" s="26"/>
      <c r="AG13" s="26"/>
      <c r="AH13" s="26"/>
      <c r="AI13" s="26"/>
      <c r="AJ13" s="26"/>
      <c r="AK13" s="26"/>
      <c r="AL13" s="26"/>
      <c r="AM13" s="26"/>
      <c r="AN13" s="26"/>
      <c r="AO13" s="26"/>
      <c r="AP13" s="26"/>
      <c r="AQ13" s="26"/>
      <c r="AR13" s="26"/>
      <c r="AS13" s="26"/>
      <c r="AT13" s="26"/>
      <c r="AU13" s="26"/>
      <c r="AV13" s="26"/>
      <c r="AW13" s="26"/>
      <c r="AX13" s="26"/>
      <c r="AY13" s="26"/>
      <c r="AZ13" s="26"/>
      <c r="BA13" s="26"/>
      <c r="BB13" s="26"/>
      <c r="BC13" s="26"/>
      <c r="BD13" s="26"/>
      <c r="BE13" s="26"/>
    </row>
    <row r="14" spans="1:57" ht="47.25" customHeight="1">
      <c r="A14" s="250" t="s">
        <v>80</v>
      </c>
      <c r="B14" s="42" t="s">
        <v>39</v>
      </c>
      <c r="C14" s="40">
        <f>((((5+6)*9.74)/2)+(((5+1)*5.37)/2)+(((1+6)*6.87)/2))*0.26</f>
        <v>24.368500000000004</v>
      </c>
      <c r="D14" s="41">
        <v>686.68</v>
      </c>
      <c r="E14" s="41">
        <f t="shared" si="0"/>
        <v>16733.361580000001</v>
      </c>
      <c r="F14" s="173">
        <v>0.28349999999999997</v>
      </c>
      <c r="G14" s="41">
        <f t="shared" si="1"/>
        <v>881.35377999999992</v>
      </c>
      <c r="H14" s="251">
        <f t="shared" si="2"/>
        <v>21477.269587930001</v>
      </c>
      <c r="I14" s="241">
        <f t="shared" si="3"/>
        <v>4.5083445114247292E-2</v>
      </c>
      <c r="J14" s="173">
        <f t="shared" si="6"/>
        <v>0.76130423472689801</v>
      </c>
      <c r="K14" s="180" t="str">
        <f t="shared" si="4"/>
        <v>A</v>
      </c>
      <c r="L14" s="26"/>
      <c r="M14" s="26"/>
      <c r="N14" s="26"/>
      <c r="O14" s="26"/>
      <c r="P14" s="26"/>
      <c r="Q14" s="26"/>
      <c r="R14" s="2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  <c r="AF14" s="26"/>
      <c r="AG14" s="26"/>
      <c r="AH14" s="26"/>
      <c r="AI14" s="26"/>
      <c r="AJ14" s="26"/>
      <c r="AK14" s="26"/>
      <c r="AL14" s="26"/>
      <c r="AM14" s="26"/>
      <c r="AN14" s="26"/>
      <c r="AO14" s="26"/>
      <c r="AP14" s="26"/>
      <c r="AQ14" s="26"/>
      <c r="AR14" s="26"/>
      <c r="AS14" s="26"/>
      <c r="AT14" s="26"/>
      <c r="AU14" s="26"/>
      <c r="AV14" s="26"/>
      <c r="AW14" s="26"/>
      <c r="AX14" s="26"/>
      <c r="AY14" s="26"/>
      <c r="AZ14" s="26"/>
      <c r="BA14" s="26"/>
      <c r="BB14" s="26"/>
      <c r="BC14" s="26"/>
      <c r="BD14" s="26"/>
      <c r="BE14" s="26"/>
    </row>
    <row r="15" spans="1:57" ht="25.5">
      <c r="A15" s="250" t="s">
        <v>101</v>
      </c>
      <c r="B15" s="42" t="s">
        <v>76</v>
      </c>
      <c r="C15" s="40">
        <f>(84.84+188.16+89.1+26.96+141.12+6.89+49.21+83.16+69.84)*1.578*1.1</f>
        <v>1283.2422240000003</v>
      </c>
      <c r="D15" s="41">
        <v>12.09</v>
      </c>
      <c r="E15" s="41">
        <f t="shared" si="0"/>
        <v>15514.398488160003</v>
      </c>
      <c r="F15" s="173">
        <v>0.28349999999999997</v>
      </c>
      <c r="G15" s="41">
        <f t="shared" si="1"/>
        <v>15.517515</v>
      </c>
      <c r="H15" s="251">
        <f t="shared" si="2"/>
        <v>19912.730459553364</v>
      </c>
      <c r="I15" s="241">
        <f t="shared" si="3"/>
        <v>4.1799283985921178E-2</v>
      </c>
      <c r="J15" s="173">
        <f t="shared" si="6"/>
        <v>0.80310351871281915</v>
      </c>
      <c r="K15" s="180" t="str">
        <f t="shared" si="4"/>
        <v>A</v>
      </c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  <c r="AF15" s="26"/>
      <c r="AG15" s="26"/>
      <c r="AH15" s="26"/>
      <c r="AI15" s="26"/>
      <c r="AJ15" s="26"/>
      <c r="AK15" s="26"/>
      <c r="AL15" s="26"/>
      <c r="AM15" s="26"/>
      <c r="AN15" s="26"/>
      <c r="AO15" s="26"/>
      <c r="AP15" s="26"/>
      <c r="AQ15" s="26"/>
      <c r="AR15" s="26"/>
      <c r="AS15" s="26"/>
      <c r="AT15" s="26"/>
      <c r="AU15" s="26"/>
      <c r="AV15" s="26"/>
      <c r="AW15" s="26"/>
      <c r="AX15" s="26"/>
      <c r="AY15" s="26"/>
      <c r="AZ15" s="26"/>
      <c r="BA15" s="26"/>
      <c r="BB15" s="26"/>
      <c r="BC15" s="26"/>
      <c r="BD15" s="26"/>
      <c r="BE15" s="26"/>
    </row>
    <row r="16" spans="1:57" ht="38.25">
      <c r="A16" s="250" t="s">
        <v>105</v>
      </c>
      <c r="B16" s="42" t="s">
        <v>20</v>
      </c>
      <c r="C16" s="40">
        <f>(2*3.14*0.01*7805.2)+(2*3.14*0.016*1017.01)</f>
        <v>592.35572480000008</v>
      </c>
      <c r="D16" s="41">
        <v>22.73</v>
      </c>
      <c r="E16" s="41">
        <f t="shared" si="0"/>
        <v>13464.245624704003</v>
      </c>
      <c r="F16" s="173">
        <v>0.28349999999999997</v>
      </c>
      <c r="G16" s="41">
        <f t="shared" si="1"/>
        <v>29.173954999999999</v>
      </c>
      <c r="H16" s="251">
        <f t="shared" si="2"/>
        <v>17281.359259307585</v>
      </c>
      <c r="I16" s="241">
        <f t="shared" si="3"/>
        <v>3.6275710395907615E-2</v>
      </c>
      <c r="J16" s="173">
        <f t="shared" si="6"/>
        <v>0.83937922910872675</v>
      </c>
      <c r="K16" s="180" t="str">
        <f t="shared" si="4"/>
        <v>A</v>
      </c>
      <c r="L16" s="26"/>
      <c r="M16" s="26"/>
      <c r="N16" s="26"/>
      <c r="O16" s="26"/>
      <c r="P16" s="26"/>
      <c r="Q16" s="26"/>
      <c r="R16" s="2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  <c r="AF16" s="26"/>
      <c r="AG16" s="26"/>
      <c r="AH16" s="26"/>
      <c r="AI16" s="26"/>
      <c r="AJ16" s="26"/>
      <c r="AK16" s="26"/>
      <c r="AL16" s="26"/>
      <c r="AM16" s="26"/>
      <c r="AN16" s="26"/>
      <c r="AO16" s="26"/>
      <c r="AP16" s="26"/>
      <c r="AQ16" s="26"/>
      <c r="AR16" s="26"/>
      <c r="AS16" s="26"/>
      <c r="AT16" s="26"/>
      <c r="AU16" s="26"/>
      <c r="AV16" s="26"/>
      <c r="AW16" s="26"/>
      <c r="AX16" s="26"/>
      <c r="AY16" s="26"/>
      <c r="AZ16" s="26"/>
      <c r="BA16" s="26"/>
      <c r="BB16" s="26"/>
      <c r="BC16" s="26"/>
      <c r="BD16" s="26"/>
      <c r="BE16" s="26"/>
    </row>
    <row r="17" spans="1:57" s="36" customFormat="1" ht="19.5" customHeight="1">
      <c r="A17" s="252" t="s">
        <v>64</v>
      </c>
      <c r="B17" s="245" t="s">
        <v>65</v>
      </c>
      <c r="C17" s="246">
        <f>18+14</f>
        <v>32</v>
      </c>
      <c r="D17" s="41">
        <f>'COMPOSIÇÃO PRÓPRIA '!J45</f>
        <v>408.78999999999996</v>
      </c>
      <c r="E17" s="247">
        <f t="shared" si="0"/>
        <v>13081.279999999999</v>
      </c>
      <c r="F17" s="173">
        <v>0.28349999999999997</v>
      </c>
      <c r="G17" s="247">
        <f t="shared" si="1"/>
        <v>524.68196499999999</v>
      </c>
      <c r="H17" s="253">
        <f t="shared" si="2"/>
        <v>16789.82288</v>
      </c>
      <c r="I17" s="241">
        <f t="shared" si="3"/>
        <v>3.5243914743883803E-2</v>
      </c>
      <c r="J17" s="173">
        <f t="shared" si="6"/>
        <v>0.87462314385261053</v>
      </c>
      <c r="K17" s="180" t="str">
        <f t="shared" si="4"/>
        <v>B</v>
      </c>
      <c r="L17" s="35"/>
      <c r="M17" s="35"/>
      <c r="N17" s="35"/>
      <c r="O17" s="35"/>
      <c r="P17" s="35"/>
      <c r="Q17" s="35"/>
      <c r="R17" s="35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  <c r="AF17" s="35"/>
      <c r="AG17" s="35"/>
      <c r="AH17" s="35"/>
      <c r="AI17" s="35"/>
      <c r="AJ17" s="35"/>
      <c r="AK17" s="35"/>
      <c r="AL17" s="35"/>
      <c r="AM17" s="35"/>
      <c r="AN17" s="35"/>
      <c r="AO17" s="35"/>
      <c r="AP17" s="35"/>
      <c r="AQ17" s="35"/>
      <c r="AR17" s="35"/>
      <c r="AS17" s="35"/>
      <c r="AT17" s="35"/>
      <c r="AU17" s="35"/>
      <c r="AV17" s="35"/>
      <c r="AW17" s="35"/>
      <c r="AX17" s="35"/>
      <c r="AY17" s="35"/>
      <c r="AZ17" s="35"/>
      <c r="BA17" s="35"/>
      <c r="BB17" s="35"/>
      <c r="BC17" s="35"/>
      <c r="BD17" s="35"/>
      <c r="BE17" s="35"/>
    </row>
    <row r="18" spans="1:57" ht="38.25">
      <c r="A18" s="250" t="s">
        <v>105</v>
      </c>
      <c r="B18" s="42" t="s">
        <v>20</v>
      </c>
      <c r="C18" s="40">
        <f>(2*3.14*0.01*5758.81)+(2*3.14*0.016*813.21)</f>
        <v>443.3646088000001</v>
      </c>
      <c r="D18" s="41">
        <v>22.73</v>
      </c>
      <c r="E18" s="41">
        <f t="shared" si="0"/>
        <v>10077.677558024003</v>
      </c>
      <c r="F18" s="173">
        <v>0.28349999999999997</v>
      </c>
      <c r="G18" s="41">
        <f t="shared" si="1"/>
        <v>29.173954999999999</v>
      </c>
      <c r="H18" s="251">
        <f t="shared" si="2"/>
        <v>12934.699145723807</v>
      </c>
      <c r="I18" s="241">
        <f t="shared" si="3"/>
        <v>2.715153323461841E-2</v>
      </c>
      <c r="J18" s="173">
        <f t="shared" si="6"/>
        <v>0.90177467708722892</v>
      </c>
      <c r="K18" s="180" t="str">
        <f t="shared" si="4"/>
        <v>B</v>
      </c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6"/>
      <c r="AI18" s="26"/>
      <c r="AJ18" s="26"/>
      <c r="AK18" s="26"/>
      <c r="AL18" s="26"/>
      <c r="AM18" s="26"/>
      <c r="AN18" s="26"/>
      <c r="AO18" s="26"/>
      <c r="AP18" s="26"/>
      <c r="AQ18" s="26"/>
      <c r="AR18" s="26"/>
      <c r="AS18" s="26"/>
      <c r="AT18" s="26"/>
      <c r="AU18" s="26"/>
      <c r="AV18" s="26"/>
      <c r="AW18" s="26"/>
      <c r="AX18" s="26"/>
      <c r="AY18" s="26"/>
      <c r="AZ18" s="26"/>
      <c r="BA18" s="26"/>
      <c r="BB18" s="26"/>
      <c r="BC18" s="26"/>
      <c r="BD18" s="26"/>
      <c r="BE18" s="26"/>
    </row>
    <row r="19" spans="1:57" ht="57.75" customHeight="1">
      <c r="A19" s="250" t="s">
        <v>29</v>
      </c>
      <c r="B19" s="42" t="s">
        <v>20</v>
      </c>
      <c r="C19" s="40">
        <f>2.5*3</f>
        <v>7.5</v>
      </c>
      <c r="D19" s="41">
        <v>943.86</v>
      </c>
      <c r="E19" s="41">
        <f t="shared" si="0"/>
        <v>7078.95</v>
      </c>
      <c r="F19" s="173">
        <v>0.28349999999999997</v>
      </c>
      <c r="G19" s="41">
        <f t="shared" si="1"/>
        <v>1211.4443099999999</v>
      </c>
      <c r="H19" s="251">
        <f t="shared" si="2"/>
        <v>9085.8323249999994</v>
      </c>
      <c r="I19" s="241">
        <f t="shared" si="3"/>
        <v>1.9072285760737193E-2</v>
      </c>
      <c r="J19" s="173">
        <f t="shared" si="6"/>
        <v>0.92084696284796608</v>
      </c>
      <c r="K19" s="180" t="str">
        <f t="shared" si="4"/>
        <v>B</v>
      </c>
      <c r="L19" s="26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6"/>
      <c r="AI19" s="26"/>
      <c r="AJ19" s="26"/>
      <c r="AK19" s="26"/>
      <c r="AL19" s="26"/>
      <c r="AM19" s="26"/>
      <c r="AN19" s="26"/>
      <c r="AO19" s="26"/>
      <c r="AP19" s="26"/>
      <c r="AQ19" s="26"/>
      <c r="AR19" s="26"/>
      <c r="AS19" s="26"/>
      <c r="AT19" s="26"/>
      <c r="AU19" s="26"/>
      <c r="AV19" s="26"/>
      <c r="AW19" s="26"/>
      <c r="AX19" s="26"/>
      <c r="AY19" s="26"/>
      <c r="AZ19" s="26"/>
      <c r="BA19" s="26"/>
      <c r="BB19" s="26"/>
      <c r="BC19" s="26"/>
      <c r="BD19" s="26"/>
      <c r="BE19" s="26"/>
    </row>
    <row r="20" spans="1:57" ht="45.75" customHeight="1">
      <c r="A20" s="250" t="s">
        <v>56</v>
      </c>
      <c r="B20" s="42" t="s">
        <v>20</v>
      </c>
      <c r="C20" s="40">
        <f>C12</f>
        <v>32.957599999999999</v>
      </c>
      <c r="D20" s="41">
        <v>24.89</v>
      </c>
      <c r="E20" s="41">
        <f t="shared" si="0"/>
        <v>820.31466399999999</v>
      </c>
      <c r="F20" s="173">
        <v>0.28349999999999997</v>
      </c>
      <c r="G20" s="41">
        <f t="shared" si="1"/>
        <v>31.946314999999998</v>
      </c>
      <c r="H20" s="251">
        <f t="shared" si="2"/>
        <v>1052.8738712439999</v>
      </c>
      <c r="I20" s="241">
        <f t="shared" si="3"/>
        <v>2.2101124722636997E-3</v>
      </c>
      <c r="J20" s="173">
        <f t="shared" si="6"/>
        <v>0.92305707532022974</v>
      </c>
      <c r="K20" s="180" t="str">
        <f t="shared" si="4"/>
        <v>B</v>
      </c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  <c r="AF20" s="26"/>
      <c r="AG20" s="26"/>
      <c r="AH20" s="26"/>
      <c r="AI20" s="26"/>
      <c r="AJ20" s="26"/>
      <c r="AK20" s="26"/>
      <c r="AL20" s="26"/>
      <c r="AM20" s="26"/>
      <c r="AN20" s="26"/>
      <c r="AO20" s="26"/>
      <c r="AP20" s="26"/>
      <c r="AQ20" s="26"/>
      <c r="AR20" s="26"/>
      <c r="AS20" s="26"/>
      <c r="AT20" s="26"/>
      <c r="AU20" s="26"/>
      <c r="AV20" s="26"/>
      <c r="AW20" s="26"/>
      <c r="AX20" s="26"/>
      <c r="AY20" s="26"/>
      <c r="AZ20" s="26"/>
      <c r="BA20" s="26"/>
      <c r="BB20" s="26"/>
      <c r="BC20" s="26"/>
      <c r="BD20" s="26"/>
      <c r="BE20" s="26"/>
    </row>
    <row r="21" spans="1:57" ht="38.25">
      <c r="A21" s="250" t="s">
        <v>60</v>
      </c>
      <c r="B21" s="42" t="s">
        <v>52</v>
      </c>
      <c r="C21" s="40">
        <f>((32.96+24.37)*30)</f>
        <v>1719.8999999999999</v>
      </c>
      <c r="D21" s="41">
        <v>3.16</v>
      </c>
      <c r="E21" s="41">
        <f t="shared" si="0"/>
        <v>5434.884</v>
      </c>
      <c r="F21" s="173">
        <v>0.28349999999999997</v>
      </c>
      <c r="G21" s="41">
        <f t="shared" si="1"/>
        <v>4.05586</v>
      </c>
      <c r="H21" s="251">
        <f t="shared" si="2"/>
        <v>6975.6736139999994</v>
      </c>
      <c r="I21" s="241">
        <f t="shared" si="3"/>
        <v>1.4642801647766745E-2</v>
      </c>
      <c r="J21" s="173">
        <f t="shared" si="6"/>
        <v>0.9376998769679965</v>
      </c>
      <c r="K21" s="180" t="str">
        <f t="shared" si="4"/>
        <v>B</v>
      </c>
      <c r="L21" s="26"/>
      <c r="M21" s="26"/>
      <c r="N21" s="26"/>
      <c r="O21" s="26"/>
      <c r="P21" s="26"/>
      <c r="Q21" s="26"/>
      <c r="R21" s="2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  <c r="AF21" s="26"/>
      <c r="AG21" s="26"/>
      <c r="AH21" s="26"/>
      <c r="AI21" s="26"/>
      <c r="AJ21" s="26"/>
      <c r="AK21" s="26"/>
      <c r="AL21" s="26"/>
      <c r="AM21" s="26"/>
      <c r="AN21" s="26"/>
      <c r="AO21" s="26"/>
      <c r="AP21" s="26"/>
      <c r="AQ21" s="26"/>
      <c r="AR21" s="26"/>
      <c r="AS21" s="26"/>
      <c r="AT21" s="26"/>
      <c r="AU21" s="26"/>
      <c r="AV21" s="26"/>
      <c r="AW21" s="26"/>
      <c r="AX21" s="26"/>
      <c r="AY21" s="26"/>
      <c r="AZ21" s="26"/>
      <c r="BA21" s="26"/>
      <c r="BB21" s="26"/>
      <c r="BC21" s="26"/>
      <c r="BD21" s="26"/>
      <c r="BE21" s="26"/>
    </row>
    <row r="22" spans="1:57" ht="51">
      <c r="A22" s="250" t="s">
        <v>97</v>
      </c>
      <c r="B22" s="42" t="s">
        <v>20</v>
      </c>
      <c r="C22" s="40">
        <f>((((5+6)*10.6)/2)+(((5+1)*12.04)/2)+(((1+6)*9.24)/2))</f>
        <v>126.75999999999999</v>
      </c>
      <c r="D22" s="41">
        <v>35.770000000000003</v>
      </c>
      <c r="E22" s="41">
        <f t="shared" si="0"/>
        <v>4534.2052000000003</v>
      </c>
      <c r="F22" s="173">
        <v>0.28349999999999997</v>
      </c>
      <c r="G22" s="41">
        <f t="shared" si="1"/>
        <v>45.910795000000007</v>
      </c>
      <c r="H22" s="251">
        <f t="shared" si="2"/>
        <v>5819.6523742000008</v>
      </c>
      <c r="I22" s="241">
        <f t="shared" si="3"/>
        <v>1.2216170091923316E-2</v>
      </c>
      <c r="J22" s="173">
        <f t="shared" si="6"/>
        <v>0.94991604705991983</v>
      </c>
      <c r="K22" s="180" t="str">
        <f t="shared" si="4"/>
        <v>B</v>
      </c>
      <c r="L22" s="26"/>
      <c r="M22" s="26"/>
      <c r="N22" s="26"/>
      <c r="O22" s="26"/>
      <c r="P22" s="26"/>
      <c r="Q22" s="26"/>
      <c r="R22" s="2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  <c r="AF22" s="26"/>
      <c r="AG22" s="26"/>
      <c r="AH22" s="26"/>
      <c r="AI22" s="26"/>
      <c r="AJ22" s="26"/>
      <c r="AK22" s="26"/>
      <c r="AL22" s="26"/>
      <c r="AM22" s="26"/>
      <c r="AN22" s="26"/>
      <c r="AO22" s="26"/>
      <c r="AP22" s="26"/>
      <c r="AQ22" s="26"/>
      <c r="AR22" s="26"/>
      <c r="AS22" s="26"/>
      <c r="AT22" s="26"/>
      <c r="AU22" s="26"/>
      <c r="AV22" s="26"/>
      <c r="AW22" s="26"/>
      <c r="AX22" s="26"/>
      <c r="AY22" s="26"/>
      <c r="AZ22" s="26"/>
      <c r="BA22" s="26"/>
      <c r="BB22" s="26"/>
      <c r="BC22" s="26"/>
      <c r="BD22" s="26"/>
      <c r="BE22" s="26"/>
    </row>
    <row r="23" spans="1:57" ht="51">
      <c r="A23" s="250" t="s">
        <v>120</v>
      </c>
      <c r="B23" s="42" t="s">
        <v>20</v>
      </c>
      <c r="C23" s="40">
        <f>((((5+6)*9.74)/2)+(((5+1)*5.37)/2)+(((1+6)*6.87)/2))</f>
        <v>93.725000000000009</v>
      </c>
      <c r="D23" s="41">
        <v>35.770000000000003</v>
      </c>
      <c r="E23" s="41">
        <f t="shared" si="0"/>
        <v>3352.5432500000006</v>
      </c>
      <c r="F23" s="173">
        <v>0.28349999999999997</v>
      </c>
      <c r="G23" s="41">
        <f t="shared" si="1"/>
        <v>45.910795000000007</v>
      </c>
      <c r="H23" s="251">
        <f t="shared" si="2"/>
        <v>4302.9892613750008</v>
      </c>
      <c r="I23" s="241">
        <f t="shared" si="3"/>
        <v>9.0325066414130087E-3</v>
      </c>
      <c r="J23" s="173">
        <f t="shared" si="6"/>
        <v>0.95894855370133281</v>
      </c>
      <c r="K23" s="180" t="str">
        <f t="shared" si="4"/>
        <v>C</v>
      </c>
      <c r="L23" s="26"/>
      <c r="M23" s="26"/>
      <c r="N23" s="26"/>
      <c r="O23" s="26"/>
      <c r="P23" s="26"/>
      <c r="Q23" s="26"/>
      <c r="R23" s="2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  <c r="AF23" s="26"/>
      <c r="AG23" s="26"/>
      <c r="AH23" s="26"/>
      <c r="AI23" s="26"/>
      <c r="AJ23" s="26"/>
      <c r="AK23" s="26"/>
      <c r="AL23" s="26"/>
      <c r="AM23" s="26"/>
      <c r="AN23" s="26"/>
      <c r="AO23" s="26"/>
      <c r="AP23" s="26"/>
      <c r="AQ23" s="26"/>
      <c r="AR23" s="26"/>
      <c r="AS23" s="26"/>
      <c r="AT23" s="26"/>
      <c r="AU23" s="26"/>
      <c r="AV23" s="26"/>
      <c r="AW23" s="26"/>
      <c r="AX23" s="26"/>
      <c r="AY23" s="26"/>
      <c r="AZ23" s="26"/>
      <c r="BA23" s="26"/>
      <c r="BB23" s="26"/>
      <c r="BC23" s="26"/>
      <c r="BD23" s="26"/>
      <c r="BE23" s="26"/>
    </row>
    <row r="24" spans="1:57" ht="25.5">
      <c r="A24" s="250" t="s">
        <v>134</v>
      </c>
      <c r="B24" s="42" t="s">
        <v>89</v>
      </c>
      <c r="C24" s="40">
        <f>(11.67+10.01+9.06+5.11+9.08+6.5)</f>
        <v>51.43</v>
      </c>
      <c r="D24" s="41">
        <v>43.83</v>
      </c>
      <c r="E24" s="41">
        <f t="shared" si="0"/>
        <v>2254.1768999999999</v>
      </c>
      <c r="F24" s="173">
        <v>0.28349999999999997</v>
      </c>
      <c r="G24" s="41">
        <f t="shared" si="1"/>
        <v>56.255804999999995</v>
      </c>
      <c r="H24" s="251">
        <f t="shared" si="2"/>
        <v>2893.2360511499996</v>
      </c>
      <c r="I24" s="241">
        <f t="shared" si="3"/>
        <v>6.0732602987805693E-3</v>
      </c>
      <c r="J24" s="173">
        <f t="shared" si="6"/>
        <v>0.96502181400011333</v>
      </c>
      <c r="K24" s="180" t="str">
        <f t="shared" si="4"/>
        <v>C</v>
      </c>
      <c r="L24" s="26"/>
      <c r="M24" s="26"/>
      <c r="N24" s="26"/>
      <c r="O24" s="26"/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  <c r="AF24" s="26"/>
      <c r="AG24" s="26"/>
      <c r="AH24" s="26"/>
      <c r="AI24" s="26"/>
      <c r="AJ24" s="26"/>
      <c r="AK24" s="26"/>
      <c r="AL24" s="26"/>
      <c r="AM24" s="26"/>
      <c r="AN24" s="26"/>
      <c r="AO24" s="26"/>
      <c r="AP24" s="26"/>
      <c r="AQ24" s="26"/>
      <c r="AR24" s="26"/>
      <c r="AS24" s="26"/>
      <c r="AT24" s="26"/>
      <c r="AU24" s="26"/>
      <c r="AV24" s="26"/>
      <c r="AW24" s="26"/>
      <c r="AX24" s="26"/>
      <c r="AY24" s="26"/>
      <c r="AZ24" s="26"/>
      <c r="BA24" s="26"/>
      <c r="BB24" s="26"/>
      <c r="BC24" s="26"/>
      <c r="BD24" s="26"/>
      <c r="BE24" s="26"/>
    </row>
    <row r="25" spans="1:57" ht="69" customHeight="1">
      <c r="A25" s="250" t="s">
        <v>43</v>
      </c>
      <c r="B25" s="42" t="s">
        <v>39</v>
      </c>
      <c r="C25" s="40">
        <f>C24*1.1</f>
        <v>56.573000000000008</v>
      </c>
      <c r="D25" s="41">
        <v>9.16</v>
      </c>
      <c r="E25" s="41">
        <f t="shared" si="0"/>
        <v>518.20868000000007</v>
      </c>
      <c r="F25" s="173">
        <v>0.28349999999999997</v>
      </c>
      <c r="G25" s="41">
        <f t="shared" si="1"/>
        <v>11.75686</v>
      </c>
      <c r="H25" s="251">
        <f t="shared" si="2"/>
        <v>665.12084078000009</v>
      </c>
      <c r="I25" s="241">
        <f t="shared" si="3"/>
        <v>1.3961709050995443E-3</v>
      </c>
      <c r="J25" s="173">
        <f t="shared" si="6"/>
        <v>0.96641798490521291</v>
      </c>
      <c r="K25" s="180" t="str">
        <f t="shared" si="4"/>
        <v>C</v>
      </c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6"/>
      <c r="AK25" s="26"/>
      <c r="AL25" s="26"/>
      <c r="AM25" s="26"/>
      <c r="AN25" s="26"/>
      <c r="AO25" s="26"/>
      <c r="AP25" s="26"/>
      <c r="AQ25" s="26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</row>
    <row r="26" spans="1:57" ht="38.25">
      <c r="A26" s="250" t="s">
        <v>51</v>
      </c>
      <c r="B26" s="42" t="s">
        <v>52</v>
      </c>
      <c r="C26" s="40">
        <f>(220.49*3)</f>
        <v>661.47</v>
      </c>
      <c r="D26" s="41">
        <v>2.88</v>
      </c>
      <c r="E26" s="41">
        <f t="shared" si="0"/>
        <v>1905.0336</v>
      </c>
      <c r="F26" s="173">
        <v>0.28349999999999997</v>
      </c>
      <c r="G26" s="41">
        <f t="shared" si="1"/>
        <v>3.6964799999999998</v>
      </c>
      <c r="H26" s="251">
        <f t="shared" si="2"/>
        <v>2445.1106255999998</v>
      </c>
      <c r="I26" s="241">
        <f t="shared" si="3"/>
        <v>5.1325896076403867E-3</v>
      </c>
      <c r="J26" s="173">
        <f t="shared" si="6"/>
        <v>0.97155057451285332</v>
      </c>
      <c r="K26" s="180" t="str">
        <f t="shared" si="4"/>
        <v>C</v>
      </c>
      <c r="L26" s="26"/>
      <c r="M26" s="26"/>
      <c r="N26" s="26"/>
      <c r="O26" s="26"/>
      <c r="P26" s="26"/>
      <c r="Q26" s="26"/>
      <c r="R26" s="2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  <c r="AF26" s="26"/>
      <c r="AG26" s="26"/>
      <c r="AH26" s="26"/>
      <c r="AI26" s="26"/>
      <c r="AJ26" s="26"/>
      <c r="AK26" s="26"/>
      <c r="AL26" s="26"/>
      <c r="AM26" s="26"/>
      <c r="AN26" s="26"/>
      <c r="AO26" s="26"/>
      <c r="AP26" s="26"/>
      <c r="AQ26" s="26"/>
      <c r="AR26" s="26"/>
      <c r="AS26" s="26"/>
      <c r="AT26" s="26"/>
      <c r="AU26" s="26"/>
      <c r="AV26" s="26"/>
      <c r="AW26" s="26"/>
      <c r="AX26" s="26"/>
      <c r="AY26" s="26"/>
      <c r="AZ26" s="26"/>
      <c r="BA26" s="26"/>
      <c r="BB26" s="26"/>
      <c r="BC26" s="26"/>
      <c r="BD26" s="26"/>
      <c r="BE26" s="26"/>
    </row>
    <row r="27" spans="1:57" ht="56.25" customHeight="1">
      <c r="A27" s="250" t="s">
        <v>47</v>
      </c>
      <c r="B27" s="42" t="s">
        <v>20</v>
      </c>
      <c r="C27" s="40">
        <f>(2.86*1.5)+(8*1.5)+(2.91*1.68)+(8*1.5)+(2.99*1.68)+(16*1.5)+(2.93*1.68)+(16*1.5)+(3.14*1.64)+(16*1.5)+(2.96*1.68)+(16*1.5)+(1.5*1.7)</f>
        <v>151.79680000000002</v>
      </c>
      <c r="D27" s="41">
        <v>12.28</v>
      </c>
      <c r="E27" s="41">
        <f t="shared" si="0"/>
        <v>1864.0647040000001</v>
      </c>
      <c r="F27" s="173">
        <v>0.28349999999999997</v>
      </c>
      <c r="G27" s="41">
        <f t="shared" si="1"/>
        <v>15.761379999999999</v>
      </c>
      <c r="H27" s="251">
        <f t="shared" si="2"/>
        <v>2392.5270475840002</v>
      </c>
      <c r="I27" s="241">
        <f t="shared" si="3"/>
        <v>5.0222101739936008E-3</v>
      </c>
      <c r="J27" s="173">
        <f t="shared" si="6"/>
        <v>0.97657278468684694</v>
      </c>
      <c r="K27" s="180" t="str">
        <f t="shared" si="4"/>
        <v>C</v>
      </c>
      <c r="L27" s="26"/>
      <c r="M27" s="26"/>
      <c r="N27" s="26"/>
      <c r="O27" s="26"/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  <c r="AF27" s="26"/>
      <c r="AG27" s="26"/>
      <c r="AH27" s="26"/>
      <c r="AI27" s="26"/>
      <c r="AJ27" s="26"/>
      <c r="AK27" s="26"/>
      <c r="AL27" s="26"/>
      <c r="AM27" s="26"/>
      <c r="AN27" s="26"/>
      <c r="AO27" s="26"/>
      <c r="AP27" s="26"/>
      <c r="AQ27" s="26"/>
      <c r="AR27" s="26"/>
      <c r="AS27" s="26"/>
      <c r="AT27" s="26"/>
      <c r="AU27" s="26"/>
      <c r="AV27" s="26"/>
      <c r="AW27" s="26"/>
      <c r="AX27" s="26"/>
      <c r="AY27" s="26"/>
      <c r="AZ27" s="26"/>
      <c r="BA27" s="26"/>
      <c r="BB27" s="26"/>
      <c r="BC27" s="26"/>
      <c r="BD27" s="26"/>
      <c r="BE27" s="26"/>
    </row>
    <row r="28" spans="1:57" ht="56.25" customHeight="1">
      <c r="A28" s="250" t="s">
        <v>93</v>
      </c>
      <c r="B28" s="42" t="s">
        <v>89</v>
      </c>
      <c r="C28" s="40">
        <f>(5.28+6.13)</f>
        <v>11.41</v>
      </c>
      <c r="D28" s="41">
        <v>103.15</v>
      </c>
      <c r="E28" s="41">
        <f t="shared" si="0"/>
        <v>1176.9415000000001</v>
      </c>
      <c r="F28" s="173">
        <v>0.28349999999999997</v>
      </c>
      <c r="G28" s="41">
        <f t="shared" si="1"/>
        <v>132.39302499999999</v>
      </c>
      <c r="H28" s="251">
        <f t="shared" si="2"/>
        <v>1510.6044152499999</v>
      </c>
      <c r="I28" s="241">
        <f t="shared" si="3"/>
        <v>3.170945494977458E-3</v>
      </c>
      <c r="J28" s="173">
        <f t="shared" si="6"/>
        <v>0.97974373018182437</v>
      </c>
      <c r="K28" s="180" t="str">
        <f t="shared" si="4"/>
        <v>C</v>
      </c>
      <c r="L28" s="26"/>
      <c r="M28" s="26"/>
      <c r="N28" s="26"/>
      <c r="O28" s="26"/>
      <c r="P28" s="26"/>
      <c r="Q28" s="26"/>
      <c r="R28" s="2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  <c r="AF28" s="26"/>
      <c r="AG28" s="26"/>
      <c r="AH28" s="26"/>
      <c r="AI28" s="26"/>
      <c r="AJ28" s="26"/>
      <c r="AK28" s="26"/>
      <c r="AL28" s="26"/>
      <c r="AM28" s="26"/>
      <c r="AN28" s="26"/>
      <c r="AO28" s="26"/>
      <c r="AP28" s="26"/>
      <c r="AQ28" s="26"/>
      <c r="AR28" s="26"/>
      <c r="AS28" s="26"/>
      <c r="AT28" s="26"/>
      <c r="AU28" s="26"/>
      <c r="AV28" s="26"/>
      <c r="AW28" s="26"/>
      <c r="AX28" s="26"/>
      <c r="AY28" s="26"/>
      <c r="AZ28" s="26"/>
      <c r="BA28" s="26"/>
      <c r="BB28" s="26"/>
      <c r="BC28" s="26"/>
      <c r="BD28" s="26"/>
      <c r="BE28" s="26"/>
    </row>
    <row r="29" spans="1:57" ht="50.25" customHeight="1">
      <c r="A29" s="250" t="s">
        <v>38</v>
      </c>
      <c r="B29" s="42" t="s">
        <v>39</v>
      </c>
      <c r="C29" s="40">
        <f>C25*1</f>
        <v>56.573000000000008</v>
      </c>
      <c r="D29" s="41">
        <v>5.05</v>
      </c>
      <c r="E29" s="41">
        <f t="shared" si="0"/>
        <v>285.69365000000005</v>
      </c>
      <c r="F29" s="173">
        <v>0.28349999999999997</v>
      </c>
      <c r="G29" s="41">
        <f t="shared" si="1"/>
        <v>6.4816749999999992</v>
      </c>
      <c r="H29" s="251">
        <f t="shared" si="2"/>
        <v>366.68779977500003</v>
      </c>
      <c r="I29" s="241">
        <f t="shared" si="3"/>
        <v>7.6972304265859155E-4</v>
      </c>
      <c r="J29" s="173">
        <f t="shared" si="6"/>
        <v>0.98051345322448291</v>
      </c>
      <c r="K29" s="180" t="str">
        <f t="shared" si="4"/>
        <v>C</v>
      </c>
      <c r="L29" s="26"/>
      <c r="M29" s="26"/>
      <c r="N29" s="26"/>
      <c r="O29" s="26"/>
      <c r="P29" s="26"/>
      <c r="Q29" s="26"/>
      <c r="R29" s="2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  <c r="AF29" s="26"/>
      <c r="AG29" s="26"/>
      <c r="AH29" s="26"/>
      <c r="AI29" s="26"/>
      <c r="AJ29" s="26"/>
      <c r="AK29" s="26"/>
      <c r="AL29" s="26"/>
      <c r="AM29" s="26"/>
      <c r="AN29" s="26"/>
      <c r="AO29" s="26"/>
      <c r="AP29" s="26"/>
      <c r="AQ29" s="26"/>
      <c r="AR29" s="26"/>
      <c r="AS29" s="26"/>
      <c r="AT29" s="26"/>
      <c r="AU29" s="26"/>
      <c r="AV29" s="26"/>
      <c r="AW29" s="26"/>
      <c r="AX29" s="26"/>
      <c r="AY29" s="26"/>
      <c r="AZ29" s="26"/>
      <c r="BA29" s="26"/>
      <c r="BB29" s="26"/>
      <c r="BC29" s="26"/>
      <c r="BD29" s="26"/>
      <c r="BE29" s="26"/>
    </row>
    <row r="30" spans="1:57" ht="14.25">
      <c r="A30" s="250" t="s">
        <v>130</v>
      </c>
      <c r="B30" s="42" t="s">
        <v>89</v>
      </c>
      <c r="C30" s="40">
        <f>1.06*18</f>
        <v>19.080000000000002</v>
      </c>
      <c r="D30" s="41">
        <f>'COMPOSIÇÃO PRÓPRIA '!J69</f>
        <v>60.61339499999999</v>
      </c>
      <c r="E30" s="41">
        <f t="shared" si="0"/>
        <v>1156.5035765999999</v>
      </c>
      <c r="F30" s="173">
        <v>0.28349999999999997</v>
      </c>
      <c r="G30" s="41">
        <f t="shared" si="1"/>
        <v>77.797292482499984</v>
      </c>
      <c r="H30" s="251">
        <f t="shared" si="2"/>
        <v>1484.3723405660999</v>
      </c>
      <c r="I30" s="241">
        <f t="shared" si="3"/>
        <v>3.1158811259056523E-3</v>
      </c>
      <c r="J30" s="173">
        <f t="shared" si="6"/>
        <v>0.98362933435038857</v>
      </c>
      <c r="K30" s="180" t="str">
        <f t="shared" si="4"/>
        <v>C</v>
      </c>
      <c r="L30" s="26"/>
      <c r="M30" s="26"/>
      <c r="N30" s="26"/>
      <c r="O30" s="26"/>
      <c r="P30" s="26"/>
      <c r="Q30" s="26"/>
      <c r="R30" s="2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  <c r="AF30" s="26"/>
      <c r="AG30" s="26"/>
      <c r="AH30" s="26"/>
      <c r="AI30" s="26"/>
      <c r="AJ30" s="26"/>
      <c r="AK30" s="26"/>
      <c r="AL30" s="26"/>
      <c r="AM30" s="26"/>
      <c r="AN30" s="26"/>
      <c r="AO30" s="26"/>
      <c r="AP30" s="26"/>
      <c r="AQ30" s="26"/>
      <c r="AR30" s="26"/>
      <c r="AS30" s="26"/>
      <c r="AT30" s="26"/>
      <c r="AU30" s="26"/>
      <c r="AV30" s="26"/>
      <c r="AW30" s="26"/>
      <c r="AX30" s="26"/>
      <c r="AY30" s="26"/>
      <c r="AZ30" s="26"/>
      <c r="BA30" s="26"/>
      <c r="BB30" s="26"/>
      <c r="BC30" s="26"/>
      <c r="BD30" s="26"/>
      <c r="BE30" s="26"/>
    </row>
    <row r="31" spans="1:57" ht="51">
      <c r="A31" s="250" t="s">
        <v>138</v>
      </c>
      <c r="B31" s="42" t="s">
        <v>139</v>
      </c>
      <c r="C31" s="40">
        <v>4</v>
      </c>
      <c r="D31" s="41">
        <v>270.94</v>
      </c>
      <c r="E31" s="41">
        <f t="shared" si="0"/>
        <v>1083.76</v>
      </c>
      <c r="F31" s="173">
        <v>0.28349999999999997</v>
      </c>
      <c r="G31" s="41">
        <f t="shared" si="1"/>
        <v>347.75148999999999</v>
      </c>
      <c r="H31" s="251">
        <f t="shared" si="2"/>
        <v>1391.00596</v>
      </c>
      <c r="I31" s="241">
        <f t="shared" si="3"/>
        <v>2.9198935458022083E-3</v>
      </c>
      <c r="J31" s="173">
        <f t="shared" si="6"/>
        <v>0.98654922789619082</v>
      </c>
      <c r="K31" s="180" t="str">
        <f t="shared" si="4"/>
        <v>C</v>
      </c>
      <c r="L31" s="26"/>
      <c r="M31" s="26"/>
      <c r="N31" s="26"/>
      <c r="O31" s="26"/>
      <c r="P31" s="26"/>
      <c r="Q31" s="26"/>
      <c r="R31" s="2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  <c r="AF31" s="26"/>
      <c r="AG31" s="26"/>
      <c r="AH31" s="26"/>
      <c r="AI31" s="26"/>
      <c r="AJ31" s="26"/>
      <c r="AK31" s="26"/>
      <c r="AL31" s="26"/>
      <c r="AM31" s="26"/>
      <c r="AN31" s="26"/>
      <c r="AO31" s="26"/>
      <c r="AP31" s="26"/>
      <c r="AQ31" s="26"/>
      <c r="AR31" s="26"/>
      <c r="AS31" s="26"/>
      <c r="AT31" s="26"/>
      <c r="AU31" s="26"/>
      <c r="AV31" s="26"/>
      <c r="AW31" s="26"/>
      <c r="AX31" s="26"/>
      <c r="AY31" s="26"/>
      <c r="AZ31" s="26"/>
      <c r="BA31" s="26"/>
      <c r="BB31" s="26"/>
      <c r="BC31" s="26"/>
      <c r="BD31" s="26"/>
      <c r="BE31" s="26"/>
    </row>
    <row r="32" spans="1:57" ht="38.25">
      <c r="A32" s="250" t="s">
        <v>93</v>
      </c>
      <c r="B32" s="42" t="s">
        <v>89</v>
      </c>
      <c r="C32" s="40">
        <f>6.14+4.2</f>
        <v>10.34</v>
      </c>
      <c r="D32" s="41">
        <v>103.15</v>
      </c>
      <c r="E32" s="41">
        <f t="shared" si="0"/>
        <v>1066.5710000000001</v>
      </c>
      <c r="F32" s="173">
        <v>0.28349999999999997</v>
      </c>
      <c r="G32" s="41">
        <f t="shared" si="1"/>
        <v>132.39302499999999</v>
      </c>
      <c r="H32" s="251">
        <f t="shared" si="2"/>
        <v>1368.9438785</v>
      </c>
      <c r="I32" s="241">
        <f t="shared" si="3"/>
        <v>2.8735825081566096E-3</v>
      </c>
      <c r="J32" s="173">
        <f t="shared" si="6"/>
        <v>0.98942281040434743</v>
      </c>
      <c r="K32" s="180" t="str">
        <f t="shared" si="4"/>
        <v>C</v>
      </c>
      <c r="L32" s="26"/>
      <c r="M32" s="26"/>
      <c r="N32" s="26"/>
      <c r="O32" s="26"/>
      <c r="P32" s="26"/>
      <c r="Q32" s="26"/>
      <c r="R32" s="2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  <c r="AF32" s="26"/>
      <c r="AG32" s="26"/>
      <c r="AH32" s="26"/>
      <c r="AI32" s="26"/>
      <c r="AJ32" s="26"/>
      <c r="AK32" s="26"/>
      <c r="AL32" s="26"/>
      <c r="AM32" s="26"/>
      <c r="AN32" s="26"/>
      <c r="AO32" s="26"/>
      <c r="AP32" s="26"/>
      <c r="AQ32" s="26"/>
      <c r="AR32" s="26"/>
      <c r="AS32" s="26"/>
      <c r="AT32" s="26"/>
      <c r="AU32" s="26"/>
      <c r="AV32" s="26"/>
      <c r="AW32" s="26"/>
      <c r="AX32" s="26"/>
      <c r="AY32" s="26"/>
      <c r="AZ32" s="26"/>
      <c r="BA32" s="26"/>
      <c r="BB32" s="26"/>
      <c r="BC32" s="26"/>
      <c r="BD32" s="26"/>
      <c r="BE32" s="26"/>
    </row>
    <row r="33" spans="1:57" ht="14.25">
      <c r="A33" s="250" t="s">
        <v>25</v>
      </c>
      <c r="B33" s="42" t="s">
        <v>20</v>
      </c>
      <c r="C33" s="40">
        <f>1.8*1.1</f>
        <v>1.9800000000000002</v>
      </c>
      <c r="D33" s="41">
        <f>'COMPOSIÇÃO PRÓPRIA '!J23</f>
        <v>482.73299999999995</v>
      </c>
      <c r="E33" s="41">
        <f t="shared" si="0"/>
        <v>955.81133999999997</v>
      </c>
      <c r="F33" s="173">
        <v>0.28349999999999997</v>
      </c>
      <c r="G33" s="41">
        <f t="shared" si="1"/>
        <v>619.58780549999994</v>
      </c>
      <c r="H33" s="251">
        <f t="shared" si="2"/>
        <v>1226.7838548899999</v>
      </c>
      <c r="I33" s="241">
        <f t="shared" si="3"/>
        <v>2.5751710366414705E-3</v>
      </c>
      <c r="J33" s="173">
        <f t="shared" si="6"/>
        <v>0.99199798144098894</v>
      </c>
      <c r="K33" s="180" t="str">
        <f t="shared" si="4"/>
        <v>C</v>
      </c>
      <c r="L33" s="26"/>
      <c r="M33" s="26"/>
      <c r="N33" s="26"/>
      <c r="O33" s="26"/>
      <c r="P33" s="26"/>
      <c r="Q33" s="26"/>
      <c r="R33" s="2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  <c r="AF33" s="26"/>
      <c r="AG33" s="26"/>
      <c r="AH33" s="26"/>
      <c r="AI33" s="26"/>
      <c r="AJ33" s="26"/>
      <c r="AK33" s="26"/>
      <c r="AL33" s="26"/>
      <c r="AM33" s="26"/>
      <c r="AN33" s="26"/>
      <c r="AO33" s="26"/>
      <c r="AP33" s="26"/>
      <c r="AQ33" s="26"/>
      <c r="AR33" s="26"/>
      <c r="AS33" s="26"/>
      <c r="AT33" s="26"/>
      <c r="AU33" s="26"/>
      <c r="AV33" s="26"/>
      <c r="AW33" s="26"/>
      <c r="AX33" s="26"/>
      <c r="AY33" s="26"/>
      <c r="AZ33" s="26"/>
      <c r="BA33" s="26"/>
      <c r="BB33" s="26"/>
      <c r="BC33" s="26"/>
      <c r="BD33" s="26"/>
      <c r="BE33" s="26"/>
    </row>
    <row r="34" spans="1:57" ht="25.5">
      <c r="A34" s="250" t="s">
        <v>19</v>
      </c>
      <c r="B34" s="42" t="s">
        <v>20</v>
      </c>
      <c r="C34" s="40">
        <f>((((5+6)*10.6)/2)+(((5+1)*12.04)/2)+(((1+6)*9.24)/2))+((((5+6)*9.74)/2)+(((5+1)*5.37)/2)+(((1+6)*6.87)/2))</f>
        <v>220.48500000000001</v>
      </c>
      <c r="D34" s="41">
        <v>2.69</v>
      </c>
      <c r="E34" s="41">
        <f t="shared" si="0"/>
        <v>593.10464999999999</v>
      </c>
      <c r="F34" s="173">
        <v>0.28349999999999997</v>
      </c>
      <c r="G34" s="41">
        <f t="shared" si="1"/>
        <v>3.4526149999999998</v>
      </c>
      <c r="H34" s="251">
        <f t="shared" si="2"/>
        <v>761.24981827500005</v>
      </c>
      <c r="I34" s="241">
        <f t="shared" si="3"/>
        <v>1.5979575178270817E-3</v>
      </c>
      <c r="J34" s="173">
        <f t="shared" si="6"/>
        <v>0.99359593895881604</v>
      </c>
      <c r="K34" s="180" t="str">
        <f t="shared" si="4"/>
        <v>C</v>
      </c>
      <c r="L34" s="26"/>
      <c r="M34" s="26"/>
      <c r="N34" s="26"/>
      <c r="O34" s="26"/>
      <c r="P34" s="26"/>
      <c r="Q34" s="26"/>
      <c r="R34" s="2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  <c r="AF34" s="26"/>
      <c r="AG34" s="26"/>
      <c r="AH34" s="26"/>
      <c r="AI34" s="26"/>
      <c r="AJ34" s="26"/>
      <c r="AK34" s="26"/>
      <c r="AL34" s="26"/>
      <c r="AM34" s="26"/>
      <c r="AN34" s="26"/>
      <c r="AO34" s="26"/>
      <c r="AP34" s="26"/>
      <c r="AQ34" s="26"/>
      <c r="AR34" s="26"/>
      <c r="AS34" s="26"/>
      <c r="AT34" s="26"/>
      <c r="AU34" s="26"/>
      <c r="AV34" s="26"/>
      <c r="AW34" s="26"/>
      <c r="AX34" s="26"/>
      <c r="AY34" s="26"/>
      <c r="AZ34" s="26"/>
      <c r="BA34" s="26"/>
      <c r="BB34" s="26"/>
      <c r="BC34" s="26"/>
      <c r="BD34" s="26"/>
      <c r="BE34" s="26"/>
    </row>
    <row r="35" spans="1:57" ht="39.75" customHeight="1">
      <c r="A35" s="250" t="s">
        <v>84</v>
      </c>
      <c r="B35" s="42" t="s">
        <v>65</v>
      </c>
      <c r="C35" s="40">
        <v>18</v>
      </c>
      <c r="D35" s="41">
        <v>30.5</v>
      </c>
      <c r="E35" s="41">
        <f t="shared" si="0"/>
        <v>549</v>
      </c>
      <c r="F35" s="173">
        <v>0.28349999999999997</v>
      </c>
      <c r="G35" s="41">
        <f t="shared" si="1"/>
        <v>39.146749999999997</v>
      </c>
      <c r="H35" s="251">
        <f t="shared" si="2"/>
        <v>704.64149999999995</v>
      </c>
      <c r="I35" s="241">
        <f t="shared" si="3"/>
        <v>1.4791296566079319E-3</v>
      </c>
      <c r="J35" s="173">
        <f t="shared" si="6"/>
        <v>0.99507506861542394</v>
      </c>
      <c r="K35" s="180" t="str">
        <f t="shared" si="4"/>
        <v>C</v>
      </c>
      <c r="L35" s="26"/>
      <c r="M35" s="26"/>
      <c r="N35" s="26"/>
      <c r="O35" s="26"/>
      <c r="P35" s="26"/>
      <c r="Q35" s="26"/>
      <c r="R35" s="2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  <c r="AF35" s="26"/>
      <c r="AG35" s="26"/>
      <c r="AH35" s="26"/>
      <c r="AI35" s="26"/>
      <c r="AJ35" s="26"/>
      <c r="AK35" s="26"/>
      <c r="AL35" s="26"/>
      <c r="AM35" s="26"/>
      <c r="AN35" s="26"/>
      <c r="AO35" s="26"/>
      <c r="AP35" s="26"/>
      <c r="AQ35" s="26"/>
      <c r="AR35" s="26"/>
      <c r="AS35" s="26"/>
      <c r="AT35" s="26"/>
      <c r="AU35" s="26"/>
      <c r="AV35" s="26"/>
      <c r="AW35" s="26"/>
      <c r="AX35" s="26"/>
      <c r="AY35" s="26"/>
      <c r="AZ35" s="26"/>
      <c r="BA35" s="26"/>
      <c r="BB35" s="26"/>
      <c r="BC35" s="26"/>
      <c r="BD35" s="26"/>
      <c r="BE35" s="26"/>
    </row>
    <row r="36" spans="1:57" ht="39" customHeight="1">
      <c r="A36" s="250" t="s">
        <v>84</v>
      </c>
      <c r="B36" s="42" t="s">
        <v>65</v>
      </c>
      <c r="C36" s="40">
        <v>14</v>
      </c>
      <c r="D36" s="41">
        <v>30.5</v>
      </c>
      <c r="E36" s="41">
        <f t="shared" si="0"/>
        <v>427</v>
      </c>
      <c r="F36" s="173">
        <v>0.28349999999999997</v>
      </c>
      <c r="G36" s="41">
        <f t="shared" si="1"/>
        <v>39.146749999999997</v>
      </c>
      <c r="H36" s="251">
        <f t="shared" si="2"/>
        <v>548.05449999999996</v>
      </c>
      <c r="I36" s="241">
        <f t="shared" si="3"/>
        <v>1.1504341773617248E-3</v>
      </c>
      <c r="J36" s="173">
        <f t="shared" si="6"/>
        <v>0.99622550279278566</v>
      </c>
      <c r="K36" s="180" t="str">
        <f t="shared" si="4"/>
        <v>C</v>
      </c>
      <c r="L36" s="26"/>
      <c r="M36" s="26"/>
      <c r="N36" s="26"/>
      <c r="O36" s="26"/>
      <c r="P36" s="26"/>
      <c r="Q36" s="26"/>
      <c r="R36" s="2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  <c r="AF36" s="26"/>
      <c r="AG36" s="26"/>
      <c r="AH36" s="26"/>
      <c r="AI36" s="26"/>
      <c r="AJ36" s="26"/>
      <c r="AK36" s="26"/>
      <c r="AL36" s="26"/>
      <c r="AM36" s="26"/>
      <c r="AN36" s="26"/>
      <c r="AO36" s="26"/>
      <c r="AP36" s="26"/>
      <c r="AQ36" s="26"/>
      <c r="AR36" s="26"/>
      <c r="AS36" s="26"/>
      <c r="AT36" s="26"/>
      <c r="AU36" s="26"/>
      <c r="AV36" s="26"/>
      <c r="AW36" s="26"/>
      <c r="AX36" s="26"/>
      <c r="AY36" s="26"/>
      <c r="AZ36" s="26"/>
      <c r="BA36" s="26"/>
      <c r="BB36" s="26"/>
      <c r="BC36" s="26"/>
      <c r="BD36" s="26"/>
      <c r="BE36" s="26"/>
    </row>
    <row r="37" spans="1:57" ht="22.5" customHeight="1">
      <c r="A37" s="250" t="s">
        <v>69</v>
      </c>
      <c r="B37" s="42" t="s">
        <v>20</v>
      </c>
      <c r="C37" s="40">
        <f>C26</f>
        <v>661.47</v>
      </c>
      <c r="D37" s="41">
        <v>1.69</v>
      </c>
      <c r="E37" s="41">
        <f t="shared" si="0"/>
        <v>1117.8842999999999</v>
      </c>
      <c r="F37" s="173">
        <v>0.28349999999999997</v>
      </c>
      <c r="G37" s="41">
        <f t="shared" si="1"/>
        <v>2.1691149999999997</v>
      </c>
      <c r="H37" s="251">
        <f t="shared" si="2"/>
        <v>1434.8044990499998</v>
      </c>
      <c r="I37" s="241">
        <f t="shared" si="3"/>
        <v>3.0118320961500878E-3</v>
      </c>
      <c r="J37" s="173">
        <f t="shared" si="6"/>
        <v>0.99923733488893574</v>
      </c>
      <c r="K37" s="180" t="str">
        <f t="shared" si="4"/>
        <v>C</v>
      </c>
      <c r="L37" s="26"/>
      <c r="M37" s="26"/>
      <c r="N37" s="26"/>
      <c r="O37" s="26"/>
      <c r="P37" s="26"/>
      <c r="Q37" s="26"/>
      <c r="R37" s="2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  <c r="AF37" s="26"/>
      <c r="AG37" s="26"/>
      <c r="AH37" s="26"/>
      <c r="AI37" s="26"/>
      <c r="AJ37" s="26"/>
      <c r="AK37" s="26"/>
      <c r="AL37" s="26"/>
      <c r="AM37" s="26"/>
      <c r="AN37" s="26"/>
      <c r="AO37" s="26"/>
      <c r="AP37" s="26"/>
      <c r="AQ37" s="26"/>
      <c r="AR37" s="26"/>
      <c r="AS37" s="26"/>
      <c r="AT37" s="26"/>
      <c r="AU37" s="26"/>
      <c r="AV37" s="26"/>
      <c r="AW37" s="26"/>
      <c r="AX37" s="26"/>
      <c r="AY37" s="26"/>
      <c r="AZ37" s="26"/>
      <c r="BA37" s="26"/>
      <c r="BB37" s="26"/>
      <c r="BC37" s="26"/>
      <c r="BD37" s="26"/>
      <c r="BE37" s="26"/>
    </row>
    <row r="38" spans="1:57" ht="39" thickBot="1">
      <c r="A38" s="168" t="s">
        <v>33</v>
      </c>
      <c r="B38" s="169" t="s">
        <v>34</v>
      </c>
      <c r="C38" s="170">
        <f>( (94.35+193.08)*0.5)</f>
        <v>143.715</v>
      </c>
      <c r="D38" s="171">
        <f>'COMPOSIÇÃO PRÓPRIA '!J34</f>
        <v>1.9696900000000002</v>
      </c>
      <c r="E38" s="171">
        <f t="shared" si="0"/>
        <v>283.07399835000001</v>
      </c>
      <c r="F38" s="172">
        <v>0.28349999999999997</v>
      </c>
      <c r="G38" s="171">
        <f t="shared" si="1"/>
        <v>2.528097115</v>
      </c>
      <c r="H38" s="254">
        <f t="shared" si="2"/>
        <v>363.32547688222502</v>
      </c>
      <c r="I38" s="242">
        <f t="shared" si="3"/>
        <v>7.6266511106387949E-4</v>
      </c>
      <c r="J38" s="172">
        <f t="shared" si="6"/>
        <v>0.99999999999999967</v>
      </c>
      <c r="K38" s="180" t="str">
        <f t="shared" si="4"/>
        <v>C</v>
      </c>
      <c r="L38" s="26"/>
      <c r="M38" s="26"/>
      <c r="N38" s="26"/>
      <c r="O38" s="26"/>
      <c r="P38" s="26"/>
      <c r="Q38" s="26"/>
      <c r="R38" s="2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  <c r="AF38" s="26"/>
      <c r="AG38" s="26"/>
      <c r="AH38" s="26"/>
      <c r="AI38" s="26"/>
      <c r="AJ38" s="26"/>
      <c r="AK38" s="26"/>
      <c r="AL38" s="26"/>
      <c r="AM38" s="26"/>
      <c r="AN38" s="26"/>
      <c r="AO38" s="26"/>
      <c r="AP38" s="26"/>
      <c r="AQ38" s="26"/>
      <c r="AR38" s="26"/>
      <c r="AS38" s="26"/>
      <c r="AT38" s="26"/>
      <c r="AU38" s="26"/>
      <c r="AV38" s="26"/>
      <c r="AW38" s="26"/>
      <c r="AX38" s="26"/>
      <c r="AY38" s="26"/>
      <c r="AZ38" s="26"/>
      <c r="BA38" s="26"/>
      <c r="BB38" s="26"/>
      <c r="BC38" s="26"/>
      <c r="BD38" s="26"/>
      <c r="BE38" s="26"/>
    </row>
    <row r="39" spans="1:57" s="186" customFormat="1">
      <c r="A39" s="181"/>
      <c r="B39" s="182"/>
      <c r="C39" s="183"/>
      <c r="D39" s="184"/>
      <c r="E39" s="184"/>
      <c r="F39" s="185"/>
      <c r="G39" s="184"/>
      <c r="H39" s="184">
        <f>SUM(H7:H38)</f>
        <v>476389.27179375524</v>
      </c>
      <c r="I39" s="182"/>
      <c r="J39" s="182"/>
      <c r="K39" s="182"/>
      <c r="L39" s="182"/>
      <c r="M39" s="182"/>
      <c r="N39" s="182"/>
      <c r="O39" s="182"/>
      <c r="P39" s="182"/>
      <c r="Q39" s="182"/>
      <c r="R39" s="182"/>
      <c r="S39" s="182"/>
      <c r="T39" s="182"/>
      <c r="U39" s="182"/>
      <c r="V39" s="182"/>
      <c r="W39" s="182"/>
      <c r="X39" s="182"/>
      <c r="Y39" s="182"/>
      <c r="Z39" s="182"/>
      <c r="AA39" s="182"/>
      <c r="AB39" s="182"/>
      <c r="AC39" s="182"/>
      <c r="AD39" s="182"/>
      <c r="AE39" s="182"/>
      <c r="AF39" s="182"/>
      <c r="AG39" s="182"/>
      <c r="AH39" s="182"/>
      <c r="AI39" s="182"/>
      <c r="AJ39" s="182"/>
      <c r="AK39" s="182"/>
      <c r="AL39" s="182"/>
      <c r="AM39" s="182"/>
      <c r="AN39" s="182"/>
      <c r="AO39" s="182"/>
      <c r="AP39" s="182"/>
      <c r="AQ39" s="182"/>
      <c r="AR39" s="182"/>
      <c r="AS39" s="182"/>
      <c r="AT39" s="182"/>
      <c r="AU39" s="182"/>
      <c r="AV39" s="182"/>
      <c r="AW39" s="182"/>
      <c r="AX39" s="182"/>
      <c r="AY39" s="182"/>
      <c r="AZ39" s="182"/>
      <c r="BA39" s="182"/>
      <c r="BB39" s="182"/>
      <c r="BC39" s="182"/>
      <c r="BD39" s="182"/>
      <c r="BE39" s="182"/>
    </row>
  </sheetData>
  <sortState xmlns:xlrd2="http://schemas.microsoft.com/office/spreadsheetml/2017/richdata2" ref="A7:H38">
    <sortCondition descending="1" ref="H7:H38"/>
  </sortState>
  <mergeCells count="3">
    <mergeCell ref="N5:Q5"/>
    <mergeCell ref="A5:K5"/>
    <mergeCell ref="A1:K4"/>
  </mergeCells>
  <conditionalFormatting sqref="K7:K38">
    <cfRule type="cellIs" dxfId="4" priority="1" operator="equal">
      <formula>"C"</formula>
    </cfRule>
    <cfRule type="cellIs" dxfId="3" priority="2" operator="equal">
      <formula>"B"</formula>
    </cfRule>
    <cfRule type="cellIs" dxfId="2" priority="3" operator="equal">
      <formula>"B"</formula>
    </cfRule>
    <cfRule type="cellIs" dxfId="1" priority="4" operator="equal">
      <formula>"B"</formula>
    </cfRule>
    <cfRule type="cellIs" dxfId="0" priority="5" operator="equal">
      <formula>"A"</formula>
    </cfRule>
  </conditionalFormatting>
  <pageMargins left="0.51180555555555496" right="0.51180555555555496" top="0.78749999999999998" bottom="0.59027777777777801" header="0.51180555555555496" footer="0.51180555555555496"/>
  <pageSetup paperSize="9" firstPageNumber="0" fitToHeight="0" orientation="landscape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218</TotalTime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7</vt:i4>
      </vt:variant>
    </vt:vector>
  </HeadingPairs>
  <TitlesOfParts>
    <vt:vector size="7" baseType="lpstr">
      <vt:lpstr>RESUMO</vt:lpstr>
      <vt:lpstr>PLANILHA ORÇAMENTÁRIA</vt:lpstr>
      <vt:lpstr>CRONOGRAMA</vt:lpstr>
      <vt:lpstr>TAD</vt:lpstr>
      <vt:lpstr>COMPOSIÇÃO PRÓPRIA </vt:lpstr>
      <vt:lpstr>BDI NORMAL</vt:lpstr>
      <vt:lpstr>CURVA ABC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daniel pontes</dc:creator>
  <dc:description/>
  <cp:lastModifiedBy>Josue Menezes Vieira</cp:lastModifiedBy>
  <cp:revision>33</cp:revision>
  <cp:lastPrinted>2021-04-15T15:48:03Z</cp:lastPrinted>
  <dcterms:created xsi:type="dcterms:W3CDTF">2020-07-21T23:51:38Z</dcterms:created>
  <dcterms:modified xsi:type="dcterms:W3CDTF">2023-02-08T15:28:47Z</dcterms:modified>
  <dc:language>pt-BR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